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60" yWindow="1875" windowWidth="12420" windowHeight="7215" activeTab="0"/>
  </bookViews>
  <sheets>
    <sheet name="KA2022" sheetId="1" r:id="rId1"/>
    <sheet name="A_2019" sheetId="2" r:id="rId2"/>
    <sheet name="V_2019" sheetId="3" r:id="rId3"/>
  </sheets>
  <externalReferences>
    <externalReference r:id="rId6"/>
  </externalReferences>
  <definedNames>
    <definedName name="_xlnm.Print_Area" localSheetId="0">'KA2022'!$A$1:$I$75</definedName>
    <definedName name="Eink">#REF!</definedName>
    <definedName name="Gemeinde">'[1]StE-K'!$D$13</definedName>
    <definedName name="konf">'KA2022'!$C$22</definedName>
    <definedName name="MaxEink">#REF!</definedName>
    <definedName name="Name">'[1]StE-K'!$D$15</definedName>
    <definedName name="Ort">'[1]StE-K'!$D$18</definedName>
    <definedName name="Register">'[1]StE-K'!$D$14</definedName>
    <definedName name="Tarif">#REF!</definedName>
    <definedName name="Version">'[1]StE-K'!$J$10</definedName>
    <definedName name="Vorname">'[1]StE-K'!$D$16</definedName>
  </definedNames>
  <calcPr fullCalcOnLoad="1"/>
</workbook>
</file>

<file path=xl/comments1.xml><?xml version="1.0" encoding="utf-8"?>
<comments xmlns="http://schemas.openxmlformats.org/spreadsheetml/2006/main">
  <authors>
    <author>U. Sidler</author>
  </authors>
  <commentList>
    <comment ref="H42" authorId="0">
      <text>
        <r>
          <rPr>
            <sz val="11"/>
            <rFont val="Tahoma"/>
            <family val="2"/>
          </rPr>
          <t>Eine fehlerhafte Eingabe (z.B. Konfession 1/ref. in Zusammenhang mit einer katholischen Kirchgemeinde) hat eine Fehlermeldung (#NV) zur Folge.</t>
        </r>
      </text>
    </comment>
  </commentList>
</comments>
</file>

<file path=xl/sharedStrings.xml><?xml version="1.0" encoding="utf-8"?>
<sst xmlns="http://schemas.openxmlformats.org/spreadsheetml/2006/main" count="177" uniqueCount="86">
  <si>
    <t xml:space="preserve"> </t>
  </si>
  <si>
    <t>Steuerfüsse</t>
  </si>
  <si>
    <t>Gemeinde</t>
  </si>
  <si>
    <t>Kirche</t>
  </si>
  <si>
    <t>Urnäsch</t>
  </si>
  <si>
    <t>rot = Berechnungsfehlder</t>
  </si>
  <si>
    <t>Herisau</t>
  </si>
  <si>
    <t xml:space="preserve"> (= gesperrt)</t>
  </si>
  <si>
    <t>Schwellbrunn</t>
  </si>
  <si>
    <t>Familienstand</t>
  </si>
  <si>
    <t>(Tarif: A=alleinstehend/ V=verheiratet)</t>
  </si>
  <si>
    <t>Hundwil</t>
  </si>
  <si>
    <t>Stein</t>
  </si>
  <si>
    <t>Teufen</t>
  </si>
  <si>
    <t>Konfession</t>
  </si>
  <si>
    <t>(1=ref; 2=kath;3=andere oder ohne Konf.)</t>
  </si>
  <si>
    <t>Schönengrund</t>
  </si>
  <si>
    <t>Waldstatt</t>
  </si>
  <si>
    <t>Walzenhausen</t>
  </si>
  <si>
    <t>Bühler</t>
  </si>
  <si>
    <t>Gais</t>
  </si>
  <si>
    <t>Kapitalauszahlung:</t>
  </si>
  <si>
    <t>Speicher</t>
  </si>
  <si>
    <t>Trogen</t>
  </si>
  <si>
    <t>Rehetobel</t>
  </si>
  <si>
    <t>Wald</t>
  </si>
  <si>
    <t>Grub</t>
  </si>
  <si>
    <t>gerundet</t>
  </si>
  <si>
    <t>Heiden</t>
  </si>
  <si>
    <t>Wolfhalden</t>
  </si>
  <si>
    <t>Berechnung:</t>
  </si>
  <si>
    <t>Lutzenberg</t>
  </si>
  <si>
    <t>Reute</t>
  </si>
  <si>
    <t>Einheiten Gemeinde</t>
  </si>
  <si>
    <t>Kirchgemeinde</t>
  </si>
  <si>
    <t>Einheiten Kirchgemeinde</t>
  </si>
  <si>
    <t>Version:</t>
  </si>
  <si>
    <t>Auszahlungsbetrag</t>
  </si>
  <si>
    <t>vgl. auch Internetseite</t>
  </si>
  <si>
    <t xml:space="preserve">Kapitalleistungen aus Versicherungen und Vorsorgeeinrichtungen, anderen anerkannten Vorsorgeformen, </t>
  </si>
  <si>
    <t xml:space="preserve">Freizügigkeitspolicen und gesperrten Sparguthaben sowie Kapitalabfindungen des Arbeitgebers bei Beendigung </t>
  </si>
  <si>
    <t>A</t>
  </si>
  <si>
    <t>3 / konfl.</t>
  </si>
  <si>
    <t>zu beachtende Hinweise:</t>
  </si>
  <si>
    <t>In einigen politischen Gemeinden ist je nach Ortsteil eine unterschiedliche Kirchenzugehörigkeit möglich (z.B. politische Gemeinde</t>
  </si>
  <si>
    <t xml:space="preserve">Lutzenberg: Thal-Lutzenberg oder Wienacht-Tobel). </t>
  </si>
  <si>
    <t xml:space="preserve">(ref. Kirchgemeinde: identisch mit pol. Gemeinde; </t>
  </si>
  <si>
    <t xml:space="preserve">kath. Kirchgemeinde: zutreffende Gemeinde auswählen; </t>
  </si>
  <si>
    <t>des Dienstverhältnisses. Die Kapitalleistungen unterliegen einer getrennt vom übrigen Einkommen berechneten</t>
  </si>
  <si>
    <t>Jahressteuer. Auszahlungen innerhalb eines Kalenderjahres werden zusammengerechnet</t>
  </si>
  <si>
    <t>Steuerpflichtige(r):</t>
  </si>
  <si>
    <t>Tarif A</t>
  </si>
  <si>
    <t xml:space="preserve">bis </t>
  </si>
  <si>
    <t>für den übersteigenden Betrag</t>
  </si>
  <si>
    <t>bis</t>
  </si>
  <si>
    <t>&gt;</t>
  </si>
  <si>
    <t>Steuer</t>
  </si>
  <si>
    <t>Tarif V</t>
  </si>
  <si>
    <t>Steuer:</t>
  </si>
  <si>
    <t>Total</t>
  </si>
  <si>
    <t>Tarif Alleinstehende</t>
  </si>
  <si>
    <t>Tarif Verheiratete</t>
  </si>
  <si>
    <t>Berechnung direkte Bundesteuer</t>
  </si>
  <si>
    <t>die geschuldete Jahressteuer</t>
  </si>
  <si>
    <t xml:space="preserve">Voraussichtliche Steuerbelastung  </t>
  </si>
  <si>
    <t>geschuldete Jahressteuer Staat, Gemeinde, Kirche (multipliziert mit Steuerfuss)</t>
  </si>
  <si>
    <t xml:space="preserve"> Ihre Eingabe ("grüne" Felder)</t>
  </si>
  <si>
    <t>Staats- Gemeinde und Kirchensteuer sowie direkte Bundesstseuer</t>
  </si>
  <si>
    <r>
      <t xml:space="preserve">Berechnung der separaten Jahressteuer </t>
    </r>
    <r>
      <rPr>
        <b/>
        <sz val="16"/>
        <color indexed="10"/>
        <rFont val="Arial"/>
        <family val="2"/>
      </rPr>
      <t>(Staat und Gemeinde, direkte Bundessteuer)</t>
    </r>
  </si>
  <si>
    <t>persönliche Angaben</t>
  </si>
  <si>
    <t>Staats- Gemeinde- und Kirchensteuer</t>
  </si>
  <si>
    <t>direkte Bundesteuer</t>
  </si>
  <si>
    <t xml:space="preserve">fehlerhafte Eingabe bewirkt </t>
  </si>
  <si>
    <t>Fehlermeldung im Ergebnis!</t>
  </si>
  <si>
    <t>V</t>
  </si>
  <si>
    <t>Einheiten Kanton</t>
  </si>
  <si>
    <t xml:space="preserve">Art. 41 StG: Kapitalleistungen mit Vorsorgecharakter </t>
  </si>
  <si>
    <t xml:space="preserve">weitere Auskünfte erteilt die Kantonale Steuerverwaltung; resp. Ihre zuständige Veranlagungsperson. </t>
  </si>
  <si>
    <t xml:space="preserve">Die vorstehende Berechnung ist unverbindlich und ohne jegliches Präjudiz; </t>
  </si>
  <si>
    <t>Tarif 2019</t>
  </si>
  <si>
    <t>Die Steuerfüsse wurden mit Stand per 21. Januar 2021 hinterlegt.</t>
  </si>
  <si>
    <t>Kapitalleistungen aus Vorsorge 2022</t>
  </si>
  <si>
    <t>Int_KA2022</t>
  </si>
  <si>
    <t>vgl. Tabelle Steuerfüsse 2022</t>
  </si>
  <si>
    <t>a</t>
  </si>
  <si>
    <t>Steuerfüsse 2022</t>
  </si>
</sst>
</file>

<file path=xl/styles.xml><?xml version="1.0" encoding="utf-8"?>
<styleSheet xmlns="http://schemas.openxmlformats.org/spreadsheetml/2006/main">
  <numFmts count="3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.0000;\-#,##0.0000"/>
    <numFmt numFmtId="177" formatCode="0.00000"/>
    <numFmt numFmtId="178" formatCode="0.0000"/>
    <numFmt numFmtId="179" formatCode="0.0\ %"/>
    <numFmt numFmtId="180" formatCode="0.00000000\ %"/>
    <numFmt numFmtId="181" formatCode="0.000\ %"/>
    <numFmt numFmtId="182" formatCode="0.0"/>
    <numFmt numFmtId="183" formatCode="0.0000%"/>
    <numFmt numFmtId="184" formatCode="0.000000"/>
    <numFmt numFmtId="185" formatCode="#,##0.0"/>
    <numFmt numFmtId="186" formatCode="0.000"/>
    <numFmt numFmtId="187" formatCode="#,##0.000"/>
    <numFmt numFmtId="188" formatCode="&quot;SFr.&quot;\ #,##0.00"/>
    <numFmt numFmtId="189" formatCode="#,##0_ ;\-#,##0\ "/>
    <numFmt numFmtId="190" formatCode="#,##0.00_ ;\-#,##0.00\ "/>
    <numFmt numFmtId="191" formatCode="[$-807]dddd\,\ d\.\ mmmm\ yyyy"/>
    <numFmt numFmtId="192" formatCode="d/mm/yy;@"/>
  </numFmts>
  <fonts count="7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sz val="12"/>
      <color indexed="1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0"/>
      <name val="Wingdings 3"/>
      <family val="1"/>
    </font>
    <font>
      <sz val="12"/>
      <color indexed="10"/>
      <name val="Wingdings 3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ahoma"/>
      <family val="2"/>
    </font>
    <font>
      <sz val="9"/>
      <name val="Arial"/>
      <family val="2"/>
    </font>
    <font>
      <sz val="10.5"/>
      <name val="Arial"/>
      <family val="2"/>
    </font>
    <font>
      <sz val="9.5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2"/>
      <color indexed="10"/>
      <name val="Wingdings 3"/>
      <family val="1"/>
    </font>
    <font>
      <sz val="12"/>
      <name val="Wingdings 3"/>
      <family val="1"/>
    </font>
    <font>
      <b/>
      <sz val="11"/>
      <color indexed="12"/>
      <name val="Arial"/>
      <family val="2"/>
    </font>
    <font>
      <sz val="11"/>
      <color indexed="4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3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7.5"/>
      <color indexed="8"/>
      <name val="Arial"/>
      <family val="0"/>
    </font>
    <font>
      <sz val="7.5"/>
      <color indexed="8"/>
      <name val="Times New Roman"/>
      <family val="0"/>
    </font>
    <font>
      <sz val="7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178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2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2" fontId="4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0" fillId="0" borderId="10" xfId="0" applyBorder="1" applyAlignment="1">
      <alignment/>
    </xf>
    <xf numFmtId="2" fontId="5" fillId="0" borderId="0" xfId="0" applyNumberFormat="1" applyFont="1" applyFill="1" applyAlignment="1">
      <alignment/>
    </xf>
    <xf numFmtId="14" fontId="9" fillId="0" borderId="10" xfId="0" applyNumberFormat="1" applyFont="1" applyFill="1" applyBorder="1" applyAlignment="1">
      <alignment/>
    </xf>
    <xf numFmtId="0" fontId="17" fillId="0" borderId="10" xfId="0" applyFont="1" applyBorder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18" fillId="33" borderId="11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33" borderId="13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" fontId="7" fillId="0" borderId="0" xfId="0" applyNumberFormat="1" applyFont="1" applyAlignment="1" applyProtection="1">
      <alignment/>
      <protection hidden="1"/>
    </xf>
    <xf numFmtId="3" fontId="7" fillId="0" borderId="0" xfId="0" applyNumberFormat="1" applyFont="1" applyAlignment="1" applyProtection="1">
      <alignment/>
      <protection hidden="1"/>
    </xf>
    <xf numFmtId="0" fontId="0" fillId="0" borderId="0" xfId="0" applyBorder="1" applyAlignment="1">
      <alignment horizontal="left"/>
    </xf>
    <xf numFmtId="0" fontId="10" fillId="33" borderId="14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2" fontId="7" fillId="0" borderId="0" xfId="0" applyNumberFormat="1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2" fontId="0" fillId="0" borderId="0" xfId="0" applyNumberFormat="1" applyAlignment="1">
      <alignment/>
    </xf>
    <xf numFmtId="14" fontId="17" fillId="0" borderId="10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182" fontId="4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" fontId="20" fillId="0" borderId="0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Alignment="1">
      <alignment/>
    </xf>
    <xf numFmtId="4" fontId="4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183" fontId="26" fillId="0" borderId="0" xfId="0" applyNumberFormat="1" applyFont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183" fontId="27" fillId="0" borderId="0" xfId="0" applyNumberFormat="1" applyFont="1" applyAlignment="1">
      <alignment/>
    </xf>
    <xf numFmtId="183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3" fontId="27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/>
    </xf>
    <xf numFmtId="4" fontId="26" fillId="0" borderId="10" xfId="0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16" xfId="0" applyNumberFormat="1" applyBorder="1" applyAlignment="1">
      <alignment/>
    </xf>
    <xf numFmtId="0" fontId="28" fillId="0" borderId="0" xfId="0" applyFont="1" applyAlignment="1">
      <alignment/>
    </xf>
    <xf numFmtId="3" fontId="0" fillId="0" borderId="0" xfId="0" applyNumberFormat="1" applyFill="1" applyAlignment="1">
      <alignment/>
    </xf>
    <xf numFmtId="4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2" fontId="0" fillId="34" borderId="0" xfId="0" applyNumberFormat="1" applyFill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0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4" fontId="4" fillId="34" borderId="0" xfId="0" applyNumberFormat="1" applyFont="1" applyFill="1" applyAlignment="1">
      <alignment horizontal="left"/>
    </xf>
    <xf numFmtId="0" fontId="4" fillId="34" borderId="0" xfId="0" applyFont="1" applyFill="1" applyAlignment="1">
      <alignment/>
    </xf>
    <xf numFmtId="0" fontId="0" fillId="34" borderId="0" xfId="0" applyFont="1" applyFill="1" applyAlignment="1">
      <alignment/>
    </xf>
    <xf numFmtId="4" fontId="29" fillId="34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21" fillId="34" borderId="0" xfId="0" applyFont="1" applyFill="1" applyAlignment="1">
      <alignment/>
    </xf>
    <xf numFmtId="4" fontId="5" fillId="0" borderId="0" xfId="0" applyNumberFormat="1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20" fillId="0" borderId="10" xfId="0" applyNumberFormat="1" applyFont="1" applyFill="1" applyBorder="1" applyAlignment="1" applyProtection="1">
      <alignment vertical="center"/>
      <protection hidden="1"/>
    </xf>
    <xf numFmtId="0" fontId="5" fillId="0" borderId="10" xfId="0" applyFont="1" applyBorder="1" applyAlignment="1">
      <alignment/>
    </xf>
    <xf numFmtId="14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3" fontId="7" fillId="0" borderId="10" xfId="0" applyNumberFormat="1" applyFont="1" applyBorder="1" applyAlignment="1" applyProtection="1">
      <alignment/>
      <protection hidden="1"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vertical="center"/>
    </xf>
    <xf numFmtId="1" fontId="4" fillId="0" borderId="0" xfId="0" applyNumberFormat="1" applyFont="1" applyFill="1" applyBorder="1" applyAlignment="1" applyProtection="1">
      <alignment/>
      <protection/>
    </xf>
    <xf numFmtId="4" fontId="20" fillId="0" borderId="0" xfId="0" applyNumberFormat="1" applyFont="1" applyBorder="1" applyAlignment="1" applyProtection="1">
      <alignment vertical="center"/>
      <protection/>
    </xf>
    <xf numFmtId="4" fontId="30" fillId="34" borderId="0" xfId="0" applyNumberFormat="1" applyFont="1" applyFill="1" applyBorder="1" applyAlignment="1">
      <alignment/>
    </xf>
    <xf numFmtId="190" fontId="20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4" fontId="31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27" fillId="0" borderId="0" xfId="0" applyFont="1" applyAlignment="1">
      <alignment/>
    </xf>
    <xf numFmtId="0" fontId="0" fillId="0" borderId="0" xfId="0" applyAlignment="1" applyProtection="1">
      <alignment/>
      <protection hidden="1" locked="0"/>
    </xf>
    <xf numFmtId="0" fontId="6" fillId="35" borderId="17" xfId="0" applyFont="1" applyFill="1" applyBorder="1" applyAlignment="1" applyProtection="1">
      <alignment horizontal="right"/>
      <protection hidden="1" locked="0"/>
    </xf>
    <xf numFmtId="0" fontId="6" fillId="35" borderId="18" xfId="0" applyFont="1" applyFill="1" applyBorder="1" applyAlignment="1" applyProtection="1">
      <alignment horizontal="right"/>
      <protection hidden="1" locked="0"/>
    </xf>
    <xf numFmtId="3" fontId="6" fillId="35" borderId="17" xfId="0" applyNumberFormat="1" applyFont="1" applyFill="1" applyBorder="1" applyAlignment="1" applyProtection="1">
      <alignment/>
      <protection hidden="1" locked="0"/>
    </xf>
    <xf numFmtId="192" fontId="0" fillId="0" borderId="0" xfId="0" applyNumberFormat="1" applyAlignment="1">
      <alignment/>
    </xf>
    <xf numFmtId="0" fontId="0" fillId="0" borderId="0" xfId="0" applyFont="1" applyAlignment="1">
      <alignment/>
    </xf>
    <xf numFmtId="0" fontId="32" fillId="0" borderId="0" xfId="48" applyFont="1" applyAlignment="1" applyProtection="1">
      <alignment/>
      <protection/>
    </xf>
    <xf numFmtId="0" fontId="14" fillId="0" borderId="0" xfId="48" applyAlignment="1" applyProtection="1">
      <alignment/>
      <protection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4" fillId="0" borderId="0" xfId="48" applyFont="1" applyAlignment="1" applyProtection="1">
      <alignment horizontal="center"/>
      <protection/>
    </xf>
    <xf numFmtId="0" fontId="5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19</xdr:row>
      <xdr:rowOff>9525</xdr:rowOff>
    </xdr:from>
    <xdr:to>
      <xdr:col>2</xdr:col>
      <xdr:colOff>685800</xdr:colOff>
      <xdr:row>19</xdr:row>
      <xdr:rowOff>190500</xdr:rowOff>
    </xdr:to>
    <xdr:sp>
      <xdr:nvSpPr>
        <xdr:cNvPr id="1" name="Line 1"/>
        <xdr:cNvSpPr>
          <a:spLocks/>
        </xdr:cNvSpPr>
      </xdr:nvSpPr>
      <xdr:spPr>
        <a:xfrm>
          <a:off x="3105150" y="4200525"/>
          <a:ext cx="171450" cy="1809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1524000</xdr:colOff>
      <xdr:row>9</xdr:row>
      <xdr:rowOff>19050</xdr:rowOff>
    </xdr:to>
    <xdr:grpSp>
      <xdr:nvGrpSpPr>
        <xdr:cNvPr id="2" name="Group 97"/>
        <xdr:cNvGrpSpPr>
          <a:grpSpLocks/>
        </xdr:cNvGrpSpPr>
      </xdr:nvGrpSpPr>
      <xdr:grpSpPr>
        <a:xfrm>
          <a:off x="0" y="0"/>
          <a:ext cx="8162925" cy="1866900"/>
          <a:chOff x="0" y="0"/>
          <a:chExt cx="857" cy="201"/>
        </a:xfrm>
        <a:solidFill>
          <a:srgbClr val="FFFFFF"/>
        </a:solidFill>
      </xdr:grpSpPr>
      <xdr:sp>
        <xdr:nvSpPr>
          <xdr:cNvPr id="3" name="Line 63"/>
          <xdr:cNvSpPr>
            <a:spLocks/>
          </xdr:cNvSpPr>
        </xdr:nvSpPr>
        <xdr:spPr>
          <a:xfrm flipH="1">
            <a:off x="513" y="8"/>
            <a:ext cx="0" cy="33"/>
          </a:xfrm>
          <a:prstGeom prst="line">
            <a:avLst/>
          </a:prstGeom>
          <a:noFill/>
          <a:ln w="381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" name="Picture 64" descr="Logo_Templat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48" cy="6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Text Box 65"/>
          <xdr:cNvSpPr txBox="1">
            <a:spLocks noChangeArrowheads="1"/>
          </xdr:cNvSpPr>
        </xdr:nvSpPr>
        <xdr:spPr>
          <a:xfrm>
            <a:off x="531" y="19"/>
            <a:ext cx="120" cy="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Departement Finanzen
</a:t>
            </a:r>
            <a:r>
              <a:rPr lang="en-US" cap="none" sz="7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7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7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6" name="Line 66"/>
          <xdr:cNvSpPr>
            <a:spLocks/>
          </xdr:cNvSpPr>
        </xdr:nvSpPr>
        <xdr:spPr>
          <a:xfrm flipH="1">
            <a:off x="663" y="8"/>
            <a:ext cx="0" cy="31"/>
          </a:xfrm>
          <a:prstGeom prst="line">
            <a:avLst/>
          </a:prstGeom>
          <a:noFill/>
          <a:ln w="381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67"/>
          <xdr:cNvSpPr txBox="1">
            <a:spLocks noChangeArrowheads="1"/>
          </xdr:cNvSpPr>
        </xdr:nvSpPr>
        <xdr:spPr>
          <a:xfrm>
            <a:off x="678" y="21"/>
            <a:ext cx="179" cy="1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Kantonale Steuerverwaltung</a:t>
            </a: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Gutenberg-Zentrum
</a:t>
            </a: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Kasernenstrasse 2
</a:t>
            </a: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9100 Herisau
</a:t>
            </a: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Tel.  +41 71 353 62 90
</a:t>
            </a: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Fax  +41 71 353 63 11
</a:t>
            </a: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steuerverwaltung@ar.ch
</a:t>
            </a: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www.ar.ch
</a:t>
            </a: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Ste99z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-K"/>
    </sheetNames>
    <sheetDataSet>
      <sheetData sheetId="0">
        <row r="10">
          <cell r="J10" t="str">
            <v>V-1.3 / 26.03.99 / gedruckt: 16.10.2000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r.ch/fileadmin/user_upload/Departement_Finanzen/Steuerverwaltung/Bibliothek/2022/Steuerfuesse_2022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"/>
  <sheetViews>
    <sheetView showGridLines="0" tabSelected="1" zoomScale="75" zoomScaleNormal="75" zoomScalePageLayoutView="0" workbookViewId="0" topLeftCell="A19">
      <selection activeCell="C69" sqref="C69"/>
    </sheetView>
  </sheetViews>
  <sheetFormatPr defaultColWidth="0" defaultRowHeight="12.75" zeroHeight="1"/>
  <cols>
    <col min="1" max="1" width="24.28125" style="0" customWidth="1"/>
    <col min="2" max="2" width="14.57421875" style="0" customWidth="1"/>
    <col min="3" max="3" width="15.57421875" style="0" customWidth="1"/>
    <col min="4" max="4" width="1.421875" style="0" customWidth="1"/>
    <col min="5" max="5" width="20.57421875" style="0" customWidth="1"/>
    <col min="6" max="6" width="7.00390625" style="0" customWidth="1"/>
    <col min="7" max="7" width="16.140625" style="0" customWidth="1"/>
    <col min="8" max="8" width="25.00390625" style="0" customWidth="1"/>
    <col min="9" max="9" width="6.421875" style="0" customWidth="1"/>
    <col min="10" max="10" width="9.7109375" style="0" hidden="1" customWidth="1"/>
    <col min="11" max="11" width="1.7109375" style="0" hidden="1" customWidth="1"/>
    <col min="12" max="12" width="16.140625" style="0" hidden="1" customWidth="1"/>
    <col min="13" max="13" width="9.00390625" style="0" hidden="1" customWidth="1"/>
    <col min="14" max="14" width="4.8515625" style="0" hidden="1" customWidth="1"/>
    <col min="15" max="15" width="3.57421875" style="0" hidden="1" customWidth="1"/>
    <col min="16" max="16" width="15.8515625" style="0" hidden="1" customWidth="1"/>
    <col min="17" max="17" width="11.00390625" style="0" hidden="1" customWidth="1"/>
    <col min="18" max="18" width="17.00390625" style="0" hidden="1" customWidth="1"/>
    <col min="19" max="19" width="10.8515625" style="0" hidden="1" customWidth="1"/>
    <col min="20" max="20" width="15.28125" style="0" hidden="1" customWidth="1"/>
    <col min="21" max="21" width="7.140625" style="0" hidden="1" customWidth="1"/>
    <col min="22" max="22" width="10.57421875" style="0" hidden="1" customWidth="1"/>
    <col min="23" max="23" width="18.28125" style="0" hidden="1" customWidth="1"/>
    <col min="24" max="24" width="7.57421875" style="0" hidden="1" customWidth="1"/>
    <col min="25" max="16384" width="11.421875" style="0" hidden="1" customWidth="1"/>
  </cols>
  <sheetData>
    <row r="1" ht="12.75">
      <c r="A1" s="127"/>
    </row>
    <row r="2" ht="12.75"/>
    <row r="3" ht="12.75"/>
    <row r="4" ht="18.75" customHeight="1">
      <c r="R4" s="21"/>
    </row>
    <row r="5" ht="18.75" customHeight="1">
      <c r="R5" s="21"/>
    </row>
    <row r="6" ht="18.75" customHeight="1"/>
    <row r="7" ht="15" customHeight="1"/>
    <row r="8" ht="15" customHeight="1"/>
    <row r="9" spans="1:21" ht="21" customHeight="1">
      <c r="A9" s="42" t="s">
        <v>81</v>
      </c>
      <c r="B9" s="34"/>
      <c r="C9" s="34"/>
      <c r="D9" s="34"/>
      <c r="E9" s="34"/>
      <c r="F9" s="34"/>
      <c r="G9" s="34"/>
      <c r="H9" s="35"/>
      <c r="P9" s="9" t="s">
        <v>1</v>
      </c>
      <c r="Q9" s="17">
        <v>2022</v>
      </c>
      <c r="R9" s="22"/>
      <c r="S9" s="22"/>
      <c r="T9" s="22"/>
      <c r="U9" s="22"/>
    </row>
    <row r="10" spans="1:21" ht="21" customHeight="1">
      <c r="A10" s="43" t="s">
        <v>68</v>
      </c>
      <c r="B10" s="36"/>
      <c r="C10" s="36"/>
      <c r="D10" s="36"/>
      <c r="E10" s="36"/>
      <c r="F10" s="36"/>
      <c r="G10" s="36"/>
      <c r="H10" s="37"/>
      <c r="J10" t="s">
        <v>36</v>
      </c>
      <c r="L10" s="132" t="s">
        <v>82</v>
      </c>
      <c r="M10" s="131">
        <v>44638</v>
      </c>
      <c r="P10" s="1" t="s">
        <v>2</v>
      </c>
      <c r="Q10" s="1" t="s">
        <v>0</v>
      </c>
      <c r="R10" s="1" t="s">
        <v>3</v>
      </c>
      <c r="S10" s="1" t="s">
        <v>42</v>
      </c>
      <c r="T10" s="1" t="s">
        <v>3</v>
      </c>
      <c r="U10" s="32" t="str">
        <f>IF(konf=1,"1 / ref.","2 / r.kath.")</f>
        <v>2 / r.kath.</v>
      </c>
    </row>
    <row r="11" spans="1:23" ht="16.5" customHeight="1">
      <c r="A11" s="23" t="s">
        <v>0</v>
      </c>
      <c r="B11" s="25"/>
      <c r="C11" s="25"/>
      <c r="D11" s="25"/>
      <c r="E11" s="25"/>
      <c r="F11" s="25"/>
      <c r="G11" s="25"/>
      <c r="H11" s="25"/>
      <c r="K11" s="9"/>
      <c r="L11" s="11" t="s">
        <v>0</v>
      </c>
      <c r="M11" s="10"/>
      <c r="N11" s="2"/>
      <c r="P11" s="2" t="s">
        <v>4</v>
      </c>
      <c r="Q11" s="16">
        <v>4.2</v>
      </c>
      <c r="R11" s="2" t="s">
        <v>4</v>
      </c>
      <c r="S11" s="16">
        <v>0</v>
      </c>
      <c r="T11" s="2" t="s">
        <v>4</v>
      </c>
      <c r="U11" s="29">
        <f>IF(konf=1,0.65,0.45)</f>
        <v>0.45</v>
      </c>
      <c r="V11" s="2"/>
      <c r="W11" s="2"/>
    </row>
    <row r="12" spans="1:23" ht="21" customHeight="1">
      <c r="A12" s="44" t="s">
        <v>39</v>
      </c>
      <c r="B12" s="38"/>
      <c r="C12" s="38"/>
      <c r="D12" s="38"/>
      <c r="E12" s="38"/>
      <c r="F12" s="38"/>
      <c r="G12" s="38"/>
      <c r="H12" s="25"/>
      <c r="J12" s="26" t="s">
        <v>0</v>
      </c>
      <c r="K12" s="9"/>
      <c r="M12" s="10"/>
      <c r="N12" s="2"/>
      <c r="P12" s="2" t="s">
        <v>6</v>
      </c>
      <c r="Q12" s="16">
        <v>4.1</v>
      </c>
      <c r="R12" s="2" t="s">
        <v>6</v>
      </c>
      <c r="S12" s="16">
        <v>0</v>
      </c>
      <c r="T12" s="2" t="s">
        <v>6</v>
      </c>
      <c r="U12" s="29">
        <f>IF(konf=1,0.6,0.43)</f>
        <v>0.43</v>
      </c>
      <c r="V12" s="2"/>
      <c r="W12" s="2"/>
    </row>
    <row r="13" spans="1:23" ht="21" customHeight="1">
      <c r="A13" s="44" t="s">
        <v>40</v>
      </c>
      <c r="B13" s="38"/>
      <c r="C13" s="38"/>
      <c r="D13" s="38"/>
      <c r="E13" s="38"/>
      <c r="F13" s="38"/>
      <c r="G13" s="38"/>
      <c r="H13" s="25"/>
      <c r="J13" s="27" t="s">
        <v>0</v>
      </c>
      <c r="K13" s="9"/>
      <c r="L13" s="11"/>
      <c r="M13" s="10"/>
      <c r="N13" s="2"/>
      <c r="P13" s="22" t="s">
        <v>8</v>
      </c>
      <c r="Q13" s="16">
        <v>4.2</v>
      </c>
      <c r="R13" s="2" t="s">
        <v>8</v>
      </c>
      <c r="S13" s="16">
        <v>0</v>
      </c>
      <c r="T13" s="2" t="s">
        <v>13</v>
      </c>
      <c r="U13" s="29">
        <f>IF(konf=1,0.5,0.5)</f>
        <v>0.5</v>
      </c>
      <c r="V13" s="2"/>
      <c r="W13" s="2"/>
    </row>
    <row r="14" spans="1:21" s="2" customFormat="1" ht="21" customHeight="1">
      <c r="A14" s="44" t="s">
        <v>48</v>
      </c>
      <c r="B14" s="38"/>
      <c r="C14" s="38"/>
      <c r="D14" s="38"/>
      <c r="E14" s="38"/>
      <c r="F14" s="38"/>
      <c r="G14" s="38"/>
      <c r="H14" s="23"/>
      <c r="J14" s="18"/>
      <c r="K14" s="9"/>
      <c r="L14" s="11"/>
      <c r="M14" s="10"/>
      <c r="P14" s="22" t="s">
        <v>11</v>
      </c>
      <c r="Q14" s="16">
        <v>4.7</v>
      </c>
      <c r="R14" s="2" t="s">
        <v>11</v>
      </c>
      <c r="S14" s="16">
        <v>0</v>
      </c>
      <c r="T14" s="2" t="s">
        <v>20</v>
      </c>
      <c r="U14" s="29">
        <f>IF(konf=1,0.55,0.6)</f>
        <v>0.6</v>
      </c>
    </row>
    <row r="15" spans="1:21" s="2" customFormat="1" ht="21" customHeight="1">
      <c r="A15" s="44" t="s">
        <v>49</v>
      </c>
      <c r="B15" s="38"/>
      <c r="C15" s="38"/>
      <c r="D15" s="38"/>
      <c r="E15" s="38"/>
      <c r="F15" s="38"/>
      <c r="G15" s="38"/>
      <c r="H15" s="23"/>
      <c r="J15" s="18"/>
      <c r="K15" s="9"/>
      <c r="L15" s="11"/>
      <c r="M15" s="10"/>
      <c r="P15" s="22" t="s">
        <v>12</v>
      </c>
      <c r="Q15" s="10">
        <v>3.7</v>
      </c>
      <c r="R15" s="2" t="s">
        <v>12</v>
      </c>
      <c r="S15" s="16">
        <v>0</v>
      </c>
      <c r="T15" s="2" t="s">
        <v>22</v>
      </c>
      <c r="U15" s="29">
        <f>IF(konf=1,0.6,0.6)</f>
        <v>0.6</v>
      </c>
    </row>
    <row r="16" spans="1:26" ht="15" customHeight="1">
      <c r="A16" s="30" t="s">
        <v>0</v>
      </c>
      <c r="B16" s="28"/>
      <c r="C16" s="28"/>
      <c r="D16" s="28"/>
      <c r="E16" s="28"/>
      <c r="F16" s="28"/>
      <c r="G16" s="31" t="s">
        <v>0</v>
      </c>
      <c r="H16" s="51" t="str">
        <f>TEXT(L10,"0")&amp;"  /  "&amp;TEXT(M10,"TT."&amp;"MM."&amp;"JJJJ")</f>
        <v>Int_KA2022  /  18.03.2022</v>
      </c>
      <c r="I16" s="41"/>
      <c r="J16" s="13"/>
      <c r="K16" s="13"/>
      <c r="L16" s="11"/>
      <c r="M16" s="10"/>
      <c r="N16" s="2"/>
      <c r="P16" s="2" t="s">
        <v>16</v>
      </c>
      <c r="Q16" s="16">
        <v>3.7</v>
      </c>
      <c r="R16" s="2" t="s">
        <v>16</v>
      </c>
      <c r="S16" s="16">
        <v>0</v>
      </c>
      <c r="T16" s="2" t="s">
        <v>24</v>
      </c>
      <c r="U16" s="29">
        <f>IF(konf=1,0.7,0.45)</f>
        <v>0.45</v>
      </c>
      <c r="V16" s="22"/>
      <c r="W16" s="22"/>
      <c r="X16" s="22"/>
      <c r="Y16" s="22"/>
      <c r="Z16" s="9" t="s">
        <v>5</v>
      </c>
    </row>
    <row r="17" spans="10:26" ht="17.25" customHeight="1">
      <c r="J17" s="13"/>
      <c r="K17" s="13"/>
      <c r="L17" s="11"/>
      <c r="M17" s="10"/>
      <c r="N17" s="2"/>
      <c r="P17" s="2" t="s">
        <v>17</v>
      </c>
      <c r="Q17" s="16">
        <v>4.3</v>
      </c>
      <c r="R17" s="2" t="s">
        <v>17</v>
      </c>
      <c r="S17" s="16">
        <v>0</v>
      </c>
      <c r="T17" s="2" t="s">
        <v>28</v>
      </c>
      <c r="U17" s="29">
        <f>IF(konf=1,0.6,0.45)</f>
        <v>0.45</v>
      </c>
      <c r="V17" s="22"/>
      <c r="W17" s="22"/>
      <c r="X17" s="22"/>
      <c r="Y17" s="22"/>
      <c r="Z17" s="9"/>
    </row>
    <row r="18" spans="1:26" ht="18" customHeight="1">
      <c r="A18" s="76" t="s">
        <v>69</v>
      </c>
      <c r="J18" s="13"/>
      <c r="K18" s="13"/>
      <c r="L18" s="11"/>
      <c r="M18" s="10"/>
      <c r="N18" s="2"/>
      <c r="P18" s="2" t="s">
        <v>13</v>
      </c>
      <c r="Q18" s="16">
        <v>2.7</v>
      </c>
      <c r="R18" s="2" t="s">
        <v>13</v>
      </c>
      <c r="S18" s="16">
        <v>0</v>
      </c>
      <c r="T18" s="2" t="s">
        <v>18</v>
      </c>
      <c r="U18" s="29">
        <f>IF(konf=1,0.7,0.45)</f>
        <v>0.45</v>
      </c>
      <c r="V18" s="22"/>
      <c r="W18" s="22"/>
      <c r="X18" s="22"/>
      <c r="Y18" s="22"/>
      <c r="Z18" s="9"/>
    </row>
    <row r="19" spans="1:26" s="2" customFormat="1" ht="12.75" customHeight="1">
      <c r="A19" s="19" t="s">
        <v>0</v>
      </c>
      <c r="B19" s="5" t="s">
        <v>0</v>
      </c>
      <c r="C19" s="112" t="s">
        <v>66</v>
      </c>
      <c r="D19" s="5"/>
      <c r="G19" s="2" t="s">
        <v>0</v>
      </c>
      <c r="J19" s="13"/>
      <c r="K19" s="13"/>
      <c r="L19" s="11"/>
      <c r="M19" s="10"/>
      <c r="P19" s="2" t="s">
        <v>19</v>
      </c>
      <c r="Q19" s="16">
        <v>4</v>
      </c>
      <c r="R19" s="2" t="s">
        <v>19</v>
      </c>
      <c r="S19" s="16">
        <v>0</v>
      </c>
      <c r="T19" s="2" t="str">
        <f>IF(konf=1,"Schwellbrunn","Haslen")</f>
        <v>Haslen</v>
      </c>
      <c r="U19" s="29">
        <f>IF(konf=1,0.8,0.56)</f>
        <v>0.56</v>
      </c>
      <c r="V19" s="22"/>
      <c r="W19" s="22"/>
      <c r="X19" s="22"/>
      <c r="Y19" s="22"/>
      <c r="Z19" s="9" t="s">
        <v>7</v>
      </c>
    </row>
    <row r="20" spans="1:25" s="2" customFormat="1" ht="17.25" customHeight="1">
      <c r="A20" s="1" t="s">
        <v>50</v>
      </c>
      <c r="B20" s="5" t="s">
        <v>0</v>
      </c>
      <c r="C20" s="45"/>
      <c r="D20" s="6"/>
      <c r="J20" s="13"/>
      <c r="K20" s="13"/>
      <c r="L20" s="11"/>
      <c r="M20" s="10"/>
      <c r="P20" s="2" t="s">
        <v>20</v>
      </c>
      <c r="Q20" s="16">
        <v>3.35</v>
      </c>
      <c r="R20" s="2" t="s">
        <v>20</v>
      </c>
      <c r="S20" s="16">
        <v>0</v>
      </c>
      <c r="T20" s="2" t="str">
        <f>IF(konf=1,"Hundwil","St. Peterzell")</f>
        <v>St. Peterzell</v>
      </c>
      <c r="U20" s="29">
        <f>IF(konf=1,0.75,0.8)</f>
        <v>0.8</v>
      </c>
      <c r="V20" s="22"/>
      <c r="W20" s="22"/>
      <c r="X20" s="22"/>
      <c r="Y20" s="22"/>
    </row>
    <row r="21" spans="1:25" s="2" customFormat="1" ht="15.75" customHeight="1">
      <c r="A21" s="2" t="s">
        <v>9</v>
      </c>
      <c r="B21" s="46" t="s">
        <v>0</v>
      </c>
      <c r="C21" s="128" t="s">
        <v>84</v>
      </c>
      <c r="D21" s="5"/>
      <c r="E21" s="2" t="s">
        <v>10</v>
      </c>
      <c r="J21" s="13"/>
      <c r="K21" s="13"/>
      <c r="L21" s="11"/>
      <c r="M21" s="10"/>
      <c r="P21" s="2" t="s">
        <v>22</v>
      </c>
      <c r="Q21" s="16">
        <v>3.6</v>
      </c>
      <c r="R21" s="2" t="s">
        <v>22</v>
      </c>
      <c r="S21" s="16">
        <v>0</v>
      </c>
      <c r="T21" s="2">
        <f>IF(konf=1,"Stein","")</f>
      </c>
      <c r="U21" s="29">
        <f>IF(konf=1,0.7,"")</f>
      </c>
      <c r="V21" s="22"/>
      <c r="W21" s="22"/>
      <c r="X21" s="22"/>
      <c r="Y21" s="22"/>
    </row>
    <row r="22" spans="1:25" s="2" customFormat="1" ht="18" customHeight="1">
      <c r="A22" s="2" t="s">
        <v>14</v>
      </c>
      <c r="C22" s="128">
        <v>2</v>
      </c>
      <c r="D22" s="8"/>
      <c r="E22" s="2" t="s">
        <v>15</v>
      </c>
      <c r="F22" s="3"/>
      <c r="J22" s="13"/>
      <c r="K22" s="13"/>
      <c r="L22" s="11"/>
      <c r="M22" s="10"/>
      <c r="P22" s="2" t="s">
        <v>23</v>
      </c>
      <c r="Q22" s="10">
        <v>4.5</v>
      </c>
      <c r="R22" s="2" t="s">
        <v>23</v>
      </c>
      <c r="S22" s="16">
        <v>0</v>
      </c>
      <c r="T22" s="2" t="str">
        <f>IF(konf=1,"Schönengrund","Thal-Lutzenberg")</f>
        <v>Thal-Lutzenberg</v>
      </c>
      <c r="U22" s="29">
        <f>IF(konf=1,0.8,0.74)</f>
        <v>0.74</v>
      </c>
      <c r="V22" s="22"/>
      <c r="W22" s="22"/>
      <c r="X22" s="22"/>
      <c r="Y22" s="22"/>
    </row>
    <row r="23" spans="1:25" s="2" customFormat="1" ht="18" customHeight="1">
      <c r="A23" s="2" t="s">
        <v>2</v>
      </c>
      <c r="C23" s="129" t="s">
        <v>20</v>
      </c>
      <c r="D23" s="8"/>
      <c r="F23" s="3"/>
      <c r="J23" s="13"/>
      <c r="K23" s="13"/>
      <c r="L23" s="11"/>
      <c r="M23" s="10"/>
      <c r="P23" s="2" t="s">
        <v>24</v>
      </c>
      <c r="Q23" s="16">
        <v>4.2</v>
      </c>
      <c r="R23" s="2" t="s">
        <v>24</v>
      </c>
      <c r="S23" s="16">
        <v>0</v>
      </c>
      <c r="T23" s="2" t="str">
        <f>IF(konf=1,"Waldstatt","Wienacht-Tobel")</f>
        <v>Wienacht-Tobel</v>
      </c>
      <c r="U23" s="29">
        <f>IF(konf=1,0.6,0.35)</f>
        <v>0.35</v>
      </c>
      <c r="V23" s="22"/>
      <c r="W23" s="22"/>
      <c r="X23" s="22"/>
      <c r="Y23" s="22"/>
    </row>
    <row r="24" spans="1:25" s="2" customFormat="1" ht="14.25" customHeight="1">
      <c r="A24" s="2" t="s">
        <v>0</v>
      </c>
      <c r="C24" s="5" t="s">
        <v>0</v>
      </c>
      <c r="D24" s="7"/>
      <c r="F24" s="4" t="s">
        <v>0</v>
      </c>
      <c r="J24" s="13"/>
      <c r="K24" s="13"/>
      <c r="L24" s="11"/>
      <c r="M24" s="10"/>
      <c r="P24" s="2" t="s">
        <v>25</v>
      </c>
      <c r="Q24" s="29">
        <v>4.1</v>
      </c>
      <c r="R24" s="2" t="s">
        <v>25</v>
      </c>
      <c r="S24" s="16">
        <v>0</v>
      </c>
      <c r="T24" s="2" t="str">
        <f>IF(konf=1,"Bühler","Oberegg-Reute")</f>
        <v>Oberegg-Reute</v>
      </c>
      <c r="U24" s="29">
        <f>IF(konf=1,0.8,0.57)</f>
        <v>0.57</v>
      </c>
      <c r="V24" s="22"/>
      <c r="W24" s="22"/>
      <c r="X24" s="22"/>
      <c r="Y24" s="22"/>
    </row>
    <row r="25" spans="1:25" s="2" customFormat="1" ht="15" customHeight="1">
      <c r="A25" s="2" t="s">
        <v>0</v>
      </c>
      <c r="C25" s="39" t="s">
        <v>0</v>
      </c>
      <c r="F25" s="3"/>
      <c r="P25" s="2" t="s">
        <v>26</v>
      </c>
      <c r="Q25" s="29">
        <v>4</v>
      </c>
      <c r="R25" s="2" t="s">
        <v>26</v>
      </c>
      <c r="S25" s="16">
        <v>0</v>
      </c>
      <c r="T25" s="2">
        <f>IF(konf=1,"Trogen","")</f>
      </c>
      <c r="U25" s="29">
        <f>IF(konf=1,0.75,"")</f>
      </c>
      <c r="V25" s="22"/>
      <c r="W25" s="22"/>
      <c r="X25" s="22"/>
      <c r="Y25" s="22"/>
    </row>
    <row r="26" spans="1:25" s="2" customFormat="1" ht="18" customHeight="1">
      <c r="A26" s="2" t="s">
        <v>34</v>
      </c>
      <c r="C26" s="5" t="s">
        <v>0</v>
      </c>
      <c r="F26" s="3"/>
      <c r="G26" s="128" t="s">
        <v>20</v>
      </c>
      <c r="P26" s="2" t="s">
        <v>28</v>
      </c>
      <c r="Q26" s="29">
        <v>3.7</v>
      </c>
      <c r="R26" s="2" t="s">
        <v>28</v>
      </c>
      <c r="S26" s="16">
        <v>0</v>
      </c>
      <c r="T26" s="2">
        <f>IF(konf=1,"Wald","")</f>
      </c>
      <c r="U26" s="29">
        <f>IF(konf=1,0.7,"")</f>
      </c>
      <c r="V26" s="22"/>
      <c r="W26" s="22"/>
      <c r="X26" s="22"/>
      <c r="Y26" s="22"/>
    </row>
    <row r="27" spans="1:25" s="2" customFormat="1" ht="16.5" customHeight="1">
      <c r="A27" s="21" t="s">
        <v>46</v>
      </c>
      <c r="F27" s="3"/>
      <c r="G27" s="126" t="s">
        <v>72</v>
      </c>
      <c r="J27" s="13"/>
      <c r="K27" s="13"/>
      <c r="L27" s="11"/>
      <c r="M27" s="10"/>
      <c r="P27" s="22" t="s">
        <v>29</v>
      </c>
      <c r="Q27" s="16">
        <v>3.9</v>
      </c>
      <c r="R27" s="2" t="s">
        <v>29</v>
      </c>
      <c r="S27" s="16">
        <v>0</v>
      </c>
      <c r="T27" s="2">
        <f>IF(konf=1,"Grub","")</f>
      </c>
      <c r="U27" s="29">
        <f>IF(konf=1,0.75,"")</f>
      </c>
      <c r="V27" s="22"/>
      <c r="W27" s="22"/>
      <c r="X27" s="22"/>
      <c r="Y27" s="22"/>
    </row>
    <row r="28" spans="1:25" s="2" customFormat="1" ht="13.5" customHeight="1">
      <c r="A28" s="21" t="s">
        <v>47</v>
      </c>
      <c r="F28" s="3"/>
      <c r="G28" s="126" t="s">
        <v>73</v>
      </c>
      <c r="J28" s="1"/>
      <c r="L28" s="11"/>
      <c r="M28" s="14"/>
      <c r="N28" s="15"/>
      <c r="P28" s="22" t="s">
        <v>31</v>
      </c>
      <c r="Q28" s="16">
        <v>3.6</v>
      </c>
      <c r="R28" s="2" t="s">
        <v>31</v>
      </c>
      <c r="S28" s="16">
        <v>0</v>
      </c>
      <c r="T28" s="2">
        <f>IF(konf=1,"Wolfhalden","")</f>
      </c>
      <c r="U28" s="29">
        <f>IF(konf=1,0.75,"")</f>
      </c>
      <c r="V28" s="22"/>
      <c r="W28" s="22"/>
      <c r="X28" s="22"/>
      <c r="Y28" s="22"/>
    </row>
    <row r="29" spans="1:25" s="2" customFormat="1" ht="14.25" customHeight="1">
      <c r="A29" s="132" t="s">
        <v>83</v>
      </c>
      <c r="D29" s="5"/>
      <c r="E29" s="2" t="s">
        <v>0</v>
      </c>
      <c r="F29" s="2" t="s">
        <v>0</v>
      </c>
      <c r="J29" s="1"/>
      <c r="L29" s="11"/>
      <c r="M29" s="14"/>
      <c r="N29" s="15"/>
      <c r="P29" s="2" t="s">
        <v>18</v>
      </c>
      <c r="Q29" s="16">
        <v>3.2</v>
      </c>
      <c r="R29" s="2" t="s">
        <v>18</v>
      </c>
      <c r="S29" s="16">
        <v>0</v>
      </c>
      <c r="T29" s="2">
        <f>IF(konf=1,"Lutzenberg","")</f>
      </c>
      <c r="U29" s="29">
        <f>IF(konf=1,0.72,"")</f>
      </c>
      <c r="V29" s="22"/>
      <c r="W29" s="22"/>
      <c r="X29" s="22"/>
      <c r="Y29" s="22"/>
    </row>
    <row r="30" spans="16:25" s="2" customFormat="1" ht="10.5" customHeight="1">
      <c r="P30" s="22" t="s">
        <v>32</v>
      </c>
      <c r="Q30" s="16">
        <v>3.7</v>
      </c>
      <c r="R30" s="2" t="s">
        <v>32</v>
      </c>
      <c r="S30" s="16">
        <v>0</v>
      </c>
      <c r="T30" s="2">
        <f>IF(konf=1,"Reute","")</f>
      </c>
      <c r="U30" s="29">
        <f>IF(konf=1,0.75,"")</f>
      </c>
      <c r="V30" s="22"/>
      <c r="W30" s="22"/>
      <c r="X30" s="22"/>
      <c r="Y30" s="22"/>
    </row>
    <row r="31" spans="1:25" s="2" customFormat="1" ht="14.25" customHeight="1">
      <c r="A31" s="1" t="s">
        <v>21</v>
      </c>
      <c r="G31" s="40" t="s">
        <v>0</v>
      </c>
      <c r="Q31" s="16" t="s">
        <v>0</v>
      </c>
      <c r="U31" s="22"/>
      <c r="V31" s="22"/>
      <c r="W31" s="22"/>
      <c r="X31" s="22"/>
      <c r="Y31" s="22"/>
    </row>
    <row r="32" spans="1:25" s="2" customFormat="1" ht="18" customHeight="1">
      <c r="A32" s="2" t="s">
        <v>37</v>
      </c>
      <c r="G32" s="130">
        <v>100000</v>
      </c>
      <c r="Q32" s="16"/>
      <c r="U32" s="22"/>
      <c r="V32" s="22"/>
      <c r="W32" s="22"/>
      <c r="X32" s="22"/>
      <c r="Y32" s="22"/>
    </row>
    <row r="33" spans="1:25" s="2" customFormat="1" ht="15.75" customHeight="1">
      <c r="A33" s="2" t="s">
        <v>0</v>
      </c>
      <c r="C33" s="117"/>
      <c r="D33" s="7"/>
      <c r="E33" s="3" t="s">
        <v>27</v>
      </c>
      <c r="G33" s="40">
        <f>TRUNC(SUM(G32)/100)*100</f>
        <v>100000</v>
      </c>
      <c r="P33" s="121" t="s">
        <v>33</v>
      </c>
      <c r="Q33" s="64"/>
      <c r="R33" s="64"/>
      <c r="S33" s="122">
        <f>VLOOKUP(C23,P11:Q30,2,FALSE)</f>
        <v>3.35</v>
      </c>
      <c r="V33" s="22"/>
      <c r="W33" s="22"/>
      <c r="X33" s="22"/>
      <c r="Y33" s="22"/>
    </row>
    <row r="34" spans="4:25" s="2" customFormat="1" ht="12" customHeight="1">
      <c r="D34" s="7"/>
      <c r="E34" s="3"/>
      <c r="G34" s="40"/>
      <c r="P34" s="121" t="s">
        <v>75</v>
      </c>
      <c r="Q34" s="64"/>
      <c r="R34" s="64"/>
      <c r="S34" s="123">
        <v>3.3</v>
      </c>
      <c r="V34" s="22"/>
      <c r="W34" s="22"/>
      <c r="X34" s="22"/>
      <c r="Y34" s="22"/>
    </row>
    <row r="35" spans="1:25" s="2" customFormat="1" ht="12" customHeight="1">
      <c r="A35" s="108"/>
      <c r="B35" s="108"/>
      <c r="C35" s="108"/>
      <c r="D35" s="109"/>
      <c r="E35" s="110"/>
      <c r="F35" s="108"/>
      <c r="G35" s="111"/>
      <c r="H35" s="108"/>
      <c r="P35" s="121" t="s">
        <v>35</v>
      </c>
      <c r="Q35" s="64"/>
      <c r="R35" s="64"/>
      <c r="S35" s="122">
        <f>IF(konf=3,0,VLOOKUP(G26,T11:U30,2,FALSE))</f>
        <v>0.6</v>
      </c>
      <c r="V35" s="22"/>
      <c r="W35" s="22"/>
      <c r="X35" s="22"/>
      <c r="Y35" s="22"/>
    </row>
    <row r="36" spans="1:25" s="2" customFormat="1" ht="14.25" customHeight="1">
      <c r="A36" s="2" t="s">
        <v>0</v>
      </c>
      <c r="P36" s="121" t="s">
        <v>59</v>
      </c>
      <c r="Q36" s="124"/>
      <c r="R36" s="124"/>
      <c r="S36" s="125">
        <f>SUM(S30:S35)</f>
        <v>7.25</v>
      </c>
      <c r="V36" s="22"/>
      <c r="W36" s="22"/>
      <c r="X36" s="22"/>
      <c r="Y36" s="22"/>
    </row>
    <row r="37" spans="1:25" s="2" customFormat="1" ht="18" customHeight="1">
      <c r="A37" s="91" t="s">
        <v>70</v>
      </c>
      <c r="P37" s="1" t="s">
        <v>0</v>
      </c>
      <c r="Q37" s="12"/>
      <c r="R37" s="12"/>
      <c r="S37" s="61" t="s">
        <v>0</v>
      </c>
      <c r="V37" s="22"/>
      <c r="W37" s="22"/>
      <c r="X37" s="22"/>
      <c r="Y37" s="22"/>
    </row>
    <row r="38" spans="17:25" s="2" customFormat="1" ht="11.25" customHeight="1">
      <c r="Q38" s="12"/>
      <c r="R38" s="12"/>
      <c r="S38" s="61" t="s">
        <v>0</v>
      </c>
      <c r="V38" s="22"/>
      <c r="W38" s="22"/>
      <c r="X38" s="22"/>
      <c r="Y38" s="22"/>
    </row>
    <row r="39" spans="1:25" s="2" customFormat="1" ht="17.25" customHeight="1">
      <c r="A39" s="1" t="s">
        <v>30</v>
      </c>
      <c r="O39" s="2" t="s">
        <v>0</v>
      </c>
      <c r="P39" s="1" t="s">
        <v>0</v>
      </c>
      <c r="Q39" s="12"/>
      <c r="R39" s="12"/>
      <c r="S39" s="61" t="s">
        <v>0</v>
      </c>
      <c r="V39" s="22"/>
      <c r="W39" s="22"/>
      <c r="X39" s="22"/>
      <c r="Y39" s="22"/>
    </row>
    <row r="40" spans="1:25" s="2" customFormat="1" ht="17.25" customHeight="1">
      <c r="A40" s="2" t="str">
        <f>IF(C21="A","1% bis Fr. 400'000 und 1.3333% für den übersteigenden Betrag (Tarif A)",IF(C21="V","0.75% bis Fr. 400'000 und 1% für den übersteigenden Betrag (Tarif V)",0))</f>
        <v>1% bis Fr. 400'000 und 1.3333% für den übersteigenden Betrag (Tarif A)</v>
      </c>
      <c r="E40" s="47"/>
      <c r="J40" s="2" t="s">
        <v>0</v>
      </c>
      <c r="M40" s="20" t="s">
        <v>0</v>
      </c>
      <c r="Q40" s="1"/>
      <c r="R40" s="1"/>
      <c r="S40" s="14" t="s">
        <v>0</v>
      </c>
      <c r="U40" s="24"/>
      <c r="V40" s="22"/>
      <c r="W40" s="22"/>
      <c r="X40" s="22"/>
      <c r="Y40" s="22"/>
    </row>
    <row r="41" spans="1:21" s="2" customFormat="1" ht="25.5" customHeight="1">
      <c r="A41" s="2" t="str">
        <f>"Die einfache Steuer zum Tarif "&amp;TEXT(C21,"0")&amp;" beträgt : "</f>
        <v>Die einfache Steuer zum Tarif a beträgt : </v>
      </c>
      <c r="G41" s="10">
        <f>ROUND(IF(C21="A",T52,IF(C21="V",T61,0)),9)</f>
        <v>1000</v>
      </c>
      <c r="P41" s="32"/>
      <c r="Q41" s="32"/>
      <c r="R41" s="32"/>
      <c r="S41" s="54"/>
      <c r="T41" s="22"/>
      <c r="U41" s="55"/>
    </row>
    <row r="42" spans="1:23" s="12" customFormat="1" ht="17.25" customHeight="1">
      <c r="A42" s="58" t="s">
        <v>65</v>
      </c>
      <c r="B42" s="57"/>
      <c r="C42" s="57"/>
      <c r="D42" s="57"/>
      <c r="E42" s="57"/>
      <c r="F42" s="58"/>
      <c r="G42" s="103">
        <f>S36</f>
        <v>7.25</v>
      </c>
      <c r="H42" s="120">
        <f>IF(L42&lt;10,0,L42)</f>
        <v>7250</v>
      </c>
      <c r="I42" s="9">
        <f>IF(H42=0,"*","")</f>
      </c>
      <c r="L42" s="116">
        <f>ROUND((G41*G42)/5,2)*5</f>
        <v>7250</v>
      </c>
      <c r="Q42"/>
      <c r="R42"/>
      <c r="S42"/>
      <c r="T42"/>
      <c r="U42"/>
      <c r="V42" s="2"/>
      <c r="W42" s="2"/>
    </row>
    <row r="43" spans="1:23" s="12" customFormat="1" ht="13.5" customHeight="1">
      <c r="A43" s="58"/>
      <c r="B43" s="57"/>
      <c r="C43" s="57"/>
      <c r="D43" s="57"/>
      <c r="E43" s="57"/>
      <c r="F43" s="58"/>
      <c r="G43" s="103"/>
      <c r="H43" s="120"/>
      <c r="I43" s="114"/>
      <c r="L43" s="116"/>
      <c r="Q43"/>
      <c r="R43"/>
      <c r="S43"/>
      <c r="T43">
        <f>IF(S50=0,S51*Q47,ROUND((S51*Q48)/5,2)*5)</f>
        <v>1000</v>
      </c>
      <c r="U43"/>
      <c r="V43" s="2"/>
      <c r="W43" s="2"/>
    </row>
    <row r="44" spans="1:23" s="12" customFormat="1" ht="14.25" customHeight="1">
      <c r="A44" s="113">
        <f>IF(H42=0,"* keine Steuer geschuldet, da unter Bezugsminimum (CHF 10)","")</f>
      </c>
      <c r="B44" s="57"/>
      <c r="C44" s="57"/>
      <c r="D44" s="57"/>
      <c r="E44" s="57"/>
      <c r="F44" s="58"/>
      <c r="G44" s="103"/>
      <c r="H44" s="59"/>
      <c r="Q44"/>
      <c r="R44"/>
      <c r="S44"/>
      <c r="T44"/>
      <c r="U44"/>
      <c r="V44" s="2"/>
      <c r="W44" s="2"/>
    </row>
    <row r="45" spans="1:23" s="12" customFormat="1" ht="15" customHeight="1">
      <c r="A45" s="104"/>
      <c r="B45" s="105"/>
      <c r="C45" s="105"/>
      <c r="D45" s="105"/>
      <c r="E45" s="105"/>
      <c r="F45" s="104"/>
      <c r="G45" s="106"/>
      <c r="H45" s="107"/>
      <c r="P45" s="1"/>
      <c r="Q45"/>
      <c r="R45"/>
      <c r="S45"/>
      <c r="T45"/>
      <c r="U45"/>
      <c r="V45" s="2"/>
      <c r="W45" s="2"/>
    </row>
    <row r="46" spans="12:23" s="21" customFormat="1" ht="15" customHeight="1">
      <c r="L46" s="21" t="s">
        <v>0</v>
      </c>
      <c r="P46" s="1" t="s">
        <v>76</v>
      </c>
      <c r="Q46"/>
      <c r="R46"/>
      <c r="S46" s="73"/>
      <c r="T46"/>
      <c r="U46"/>
      <c r="V46" s="2"/>
      <c r="W46" s="2"/>
    </row>
    <row r="47" spans="1:23" s="53" customFormat="1" ht="18" customHeight="1">
      <c r="A47" s="56" t="s">
        <v>71</v>
      </c>
      <c r="B47" s="57"/>
      <c r="C47" s="57"/>
      <c r="D47" s="57"/>
      <c r="E47" s="57"/>
      <c r="F47" s="58"/>
      <c r="G47" s="59"/>
      <c r="H47" s="58"/>
      <c r="P47" s="62" t="s">
        <v>51</v>
      </c>
      <c r="Q47" s="63">
        <v>0.01</v>
      </c>
      <c r="R47" s="64" t="s">
        <v>52</v>
      </c>
      <c r="S47" s="65">
        <v>400000</v>
      </c>
      <c r="T47" s="72"/>
      <c r="U47"/>
      <c r="V47" s="22"/>
      <c r="W47" s="22"/>
    </row>
    <row r="48" spans="1:23" s="53" customFormat="1" ht="11.25" customHeight="1">
      <c r="A48" s="56"/>
      <c r="B48" s="57"/>
      <c r="C48" s="57"/>
      <c r="D48" s="57"/>
      <c r="E48" s="57"/>
      <c r="F48" s="58"/>
      <c r="G48" s="59"/>
      <c r="H48" s="58"/>
      <c r="P48" s="64"/>
      <c r="Q48" s="63">
        <v>0.013333</v>
      </c>
      <c r="R48" s="64" t="s">
        <v>53</v>
      </c>
      <c r="S48" s="65"/>
      <c r="T48" s="72"/>
      <c r="U48" s="2"/>
      <c r="V48" s="22"/>
      <c r="W48" s="22"/>
    </row>
    <row r="49" spans="1:23" ht="18" customHeight="1">
      <c r="A49" s="135" t="s">
        <v>30</v>
      </c>
      <c r="B49" s="136"/>
      <c r="C49" s="136"/>
      <c r="D49" s="136"/>
      <c r="E49" s="136"/>
      <c r="F49" s="136"/>
      <c r="G49" s="136"/>
      <c r="H49" s="136"/>
      <c r="P49" s="66" t="s">
        <v>30</v>
      </c>
      <c r="Q49" s="64"/>
      <c r="R49" s="64"/>
      <c r="S49" s="70">
        <f>ROUNDDOWN(G32,-2)</f>
        <v>100000</v>
      </c>
      <c r="T49" s="72"/>
      <c r="U49" s="2"/>
      <c r="V49" s="2"/>
      <c r="W49" s="2"/>
    </row>
    <row r="50" spans="1:23" ht="17.25" customHeight="1">
      <c r="A50" s="138" t="str">
        <f>"1/5 des ordentlichen Tarifs "&amp;C21&amp;" von "&amp;"Fr. "&amp;TEXT(S64,"**#'###0.00")&amp;" ergibt"</f>
        <v>1/5 des ordentlichen Tarifs a von Fr. 2'874.00 ergibt</v>
      </c>
      <c r="B50" s="139"/>
      <c r="C50" s="139"/>
      <c r="D50" s="139"/>
      <c r="E50" s="139"/>
      <c r="F50" s="52"/>
      <c r="G50" s="52"/>
      <c r="H50" s="52"/>
      <c r="P50" s="67" t="s">
        <v>54</v>
      </c>
      <c r="Q50" s="68">
        <v>400000</v>
      </c>
      <c r="R50" s="64"/>
      <c r="S50" s="65">
        <f>IF(S49&gt;=S47,S47,0)</f>
        <v>0</v>
      </c>
      <c r="T50" s="72">
        <f>S50*Q47</f>
        <v>0</v>
      </c>
      <c r="V50" s="2"/>
      <c r="W50" s="2"/>
    </row>
    <row r="51" spans="1:23" s="21" customFormat="1" ht="15.75" customHeight="1">
      <c r="A51" s="2" t="s">
        <v>63</v>
      </c>
      <c r="E51" s="49"/>
      <c r="F51" s="49"/>
      <c r="G51" s="89" t="s">
        <v>0</v>
      </c>
      <c r="H51" s="118">
        <f>IF(L51&lt;25,0,L51)</f>
        <v>574.8</v>
      </c>
      <c r="I51" s="9">
        <f>IF(H51=0,"*","")</f>
      </c>
      <c r="L51" s="115">
        <f>ROUND(SUM(S64/5)/5,2)*5</f>
        <v>574.8</v>
      </c>
      <c r="P51" s="67" t="s">
        <v>55</v>
      </c>
      <c r="Q51" s="68">
        <v>400000</v>
      </c>
      <c r="R51" s="64"/>
      <c r="S51" s="65">
        <f>S49-S50</f>
        <v>100000</v>
      </c>
      <c r="T51" s="75">
        <f>IF(S50=0,S51*Q47,ROUND((S51*Q48)/5,2)*5)</f>
        <v>1000</v>
      </c>
      <c r="V51" s="2"/>
      <c r="W51" s="2"/>
    </row>
    <row r="52" spans="5:23" s="21" customFormat="1" ht="12" customHeight="1">
      <c r="E52" s="49"/>
      <c r="F52" s="49"/>
      <c r="G52" s="49"/>
      <c r="P52" s="67" t="s">
        <v>56</v>
      </c>
      <c r="Q52" s="68"/>
      <c r="R52" s="64"/>
      <c r="S52" s="65"/>
      <c r="T52" s="72">
        <f>SUM(T50:T51)</f>
        <v>1000</v>
      </c>
      <c r="V52" s="2"/>
      <c r="W52" s="2"/>
    </row>
    <row r="53" spans="1:23" s="21" customFormat="1" ht="10.5" customHeight="1">
      <c r="A53" s="113">
        <f>IF(H51=0,"* keine Steuer geschuldet, da unter Bezugsminimum (CHF 25)","")</f>
      </c>
      <c r="E53" s="49"/>
      <c r="F53" s="49"/>
      <c r="G53" s="49"/>
      <c r="P53" s="67"/>
      <c r="Q53" s="68"/>
      <c r="R53" s="64"/>
      <c r="S53" s="65"/>
      <c r="T53" s="72"/>
      <c r="V53" s="2"/>
      <c r="W53" s="2"/>
    </row>
    <row r="54" spans="5:23" s="21" customFormat="1" ht="18" customHeight="1">
      <c r="E54" s="49"/>
      <c r="F54" s="49"/>
      <c r="G54" s="49"/>
      <c r="P54" s="64"/>
      <c r="Q54" s="64"/>
      <c r="R54" s="64"/>
      <c r="S54" s="65"/>
      <c r="T54" s="72"/>
      <c r="V54" s="2"/>
      <c r="W54" s="2"/>
    </row>
    <row r="55" spans="1:23" ht="17.25" customHeight="1">
      <c r="A55" s="102" t="s">
        <v>64</v>
      </c>
      <c r="B55" s="92"/>
      <c r="C55" s="93"/>
      <c r="D55" s="93"/>
      <c r="E55" s="93"/>
      <c r="F55" s="93"/>
      <c r="G55" s="93"/>
      <c r="H55" s="94"/>
      <c r="P55" s="69" t="s">
        <v>57</v>
      </c>
      <c r="Q55" s="63">
        <v>0.0075</v>
      </c>
      <c r="R55" s="64" t="s">
        <v>52</v>
      </c>
      <c r="S55" s="65">
        <v>400000</v>
      </c>
      <c r="T55" s="72"/>
      <c r="V55" s="2"/>
      <c r="W55" s="2"/>
    </row>
    <row r="56" spans="1:23" ht="17.25" customHeight="1">
      <c r="A56" s="102" t="s">
        <v>67</v>
      </c>
      <c r="B56" s="92"/>
      <c r="C56" s="93"/>
      <c r="D56" s="93"/>
      <c r="E56" s="93"/>
      <c r="F56" s="93"/>
      <c r="G56" s="95"/>
      <c r="H56" s="119">
        <f>H42+H51</f>
        <v>7824.8</v>
      </c>
      <c r="P56" s="64"/>
      <c r="Q56" s="63">
        <v>0.01</v>
      </c>
      <c r="R56" s="64" t="s">
        <v>53</v>
      </c>
      <c r="S56" s="65"/>
      <c r="T56" s="72"/>
      <c r="V56" s="2"/>
      <c r="W56" s="2"/>
    </row>
    <row r="57" spans="1:23" ht="4.5" customHeight="1">
      <c r="A57" s="2"/>
      <c r="B57" s="90"/>
      <c r="C57" s="2"/>
      <c r="D57" s="2"/>
      <c r="E57" s="2"/>
      <c r="F57" s="2"/>
      <c r="G57" s="2"/>
      <c r="H57" s="21"/>
      <c r="P57" s="64"/>
      <c r="Q57" s="64"/>
      <c r="R57" s="64"/>
      <c r="S57" s="65"/>
      <c r="T57" s="72"/>
      <c r="V57" s="2"/>
      <c r="W57" s="2"/>
    </row>
    <row r="58" spans="1:23" ht="11.25" customHeight="1">
      <c r="A58" s="99"/>
      <c r="B58" s="100"/>
      <c r="C58" s="101"/>
      <c r="D58" s="101"/>
      <c r="E58" s="101"/>
      <c r="F58" s="101"/>
      <c r="G58" s="101"/>
      <c r="H58" s="101"/>
      <c r="P58" s="66" t="s">
        <v>30</v>
      </c>
      <c r="Q58" s="64"/>
      <c r="R58" s="70"/>
      <c r="S58" s="70">
        <f>ROUNDDOWN(G32,-2)</f>
        <v>100000</v>
      </c>
      <c r="T58" s="72"/>
      <c r="V58" s="2"/>
      <c r="W58" s="2"/>
    </row>
    <row r="59" spans="1:23" ht="11.25" customHeight="1">
      <c r="A59" s="96"/>
      <c r="B59" s="97"/>
      <c r="C59" s="98"/>
      <c r="D59" s="98"/>
      <c r="E59" s="98"/>
      <c r="F59" s="98"/>
      <c r="G59" s="98"/>
      <c r="H59" s="98"/>
      <c r="P59" s="67" t="s">
        <v>54</v>
      </c>
      <c r="Q59" s="64">
        <v>400000</v>
      </c>
      <c r="R59" s="71"/>
      <c r="S59" s="65">
        <f>IF(S58&gt;=S55,S55,0)</f>
        <v>0</v>
      </c>
      <c r="T59" s="72">
        <f>S59*Q55</f>
        <v>0</v>
      </c>
      <c r="U59" s="2"/>
      <c r="V59" s="2"/>
      <c r="W59" s="2"/>
    </row>
    <row r="60" spans="16:23" ht="10.5" customHeight="1">
      <c r="P60" s="67" t="s">
        <v>55</v>
      </c>
      <c r="Q60" s="64">
        <v>400000</v>
      </c>
      <c r="R60" s="65"/>
      <c r="S60" s="65">
        <f>S58-S59</f>
        <v>100000</v>
      </c>
      <c r="T60" s="75">
        <f>IF(S59=0,S60*Q55,ROUND((S60*Q56)/5,2)*5)</f>
        <v>750</v>
      </c>
      <c r="U60" s="2"/>
      <c r="V60" s="2"/>
      <c r="W60" s="2"/>
    </row>
    <row r="61" spans="1:23" s="21" customFormat="1" ht="13.5" customHeight="1">
      <c r="A61" s="60" t="s">
        <v>43</v>
      </c>
      <c r="B61" s="33"/>
      <c r="P61" s="67" t="s">
        <v>58</v>
      </c>
      <c r="Q61" s="64"/>
      <c r="R61" s="65"/>
      <c r="S61" s="65"/>
      <c r="T61" s="72">
        <f>SUM(T59:T60)</f>
        <v>750</v>
      </c>
      <c r="U61" s="2"/>
      <c r="V61" s="2"/>
      <c r="W61" s="2"/>
    </row>
    <row r="62" spans="1:23" ht="15" customHeight="1">
      <c r="A62" s="48" t="s">
        <v>78</v>
      </c>
      <c r="B62" s="21"/>
      <c r="C62" s="21"/>
      <c r="D62" s="21"/>
      <c r="F62" s="21"/>
      <c r="G62" s="21"/>
      <c r="H62" s="21"/>
      <c r="Q62" s="64"/>
      <c r="R62" s="65"/>
      <c r="S62" s="65"/>
      <c r="T62" s="72"/>
      <c r="U62" s="2"/>
      <c r="V62" s="2"/>
      <c r="W62" s="2"/>
    </row>
    <row r="63" spans="1:23" ht="12.75" customHeight="1">
      <c r="A63" s="48" t="s">
        <v>77</v>
      </c>
      <c r="B63" s="21"/>
      <c r="C63" s="21"/>
      <c r="D63" s="21"/>
      <c r="E63" s="21"/>
      <c r="F63" s="21"/>
      <c r="G63" s="21"/>
      <c r="H63" s="21"/>
      <c r="P63" s="64"/>
      <c r="Q63" s="64"/>
      <c r="R63" s="64"/>
      <c r="S63" s="74" t="s">
        <v>0</v>
      </c>
      <c r="T63" s="64"/>
      <c r="U63" s="2"/>
      <c r="V63" s="2"/>
      <c r="W63" s="2"/>
    </row>
    <row r="64" spans="1:23" s="48" customFormat="1" ht="18.75" customHeight="1">
      <c r="A64" s="48" t="s">
        <v>44</v>
      </c>
      <c r="B64"/>
      <c r="C64"/>
      <c r="D64"/>
      <c r="E64"/>
      <c r="F64"/>
      <c r="G64"/>
      <c r="H64"/>
      <c r="I64"/>
      <c r="P64" s="1" t="s">
        <v>62</v>
      </c>
      <c r="S64" s="72">
        <f>IF(C21="A",A_2019!D21,IF(C21="V",V_2019!D25,0))</f>
        <v>2874</v>
      </c>
      <c r="V64" s="1"/>
      <c r="W64" s="1"/>
    </row>
    <row r="65" spans="1:23" s="48" customFormat="1" ht="12.75" customHeight="1">
      <c r="A65" s="48" t="s">
        <v>45</v>
      </c>
      <c r="B65"/>
      <c r="C65"/>
      <c r="D65"/>
      <c r="E65"/>
      <c r="F65"/>
      <c r="G65"/>
      <c r="H65"/>
      <c r="I65"/>
      <c r="P65" s="1"/>
      <c r="S65" s="72"/>
      <c r="V65" s="1"/>
      <c r="W65" s="1"/>
    </row>
    <row r="66" spans="2:23" s="48" customFormat="1" ht="12.75" customHeight="1">
      <c r="B66"/>
      <c r="C66"/>
      <c r="D66"/>
      <c r="E66"/>
      <c r="F66"/>
      <c r="G66"/>
      <c r="H66"/>
      <c r="I66"/>
      <c r="P66" s="1"/>
      <c r="S66" s="72"/>
      <c r="V66" s="1"/>
      <c r="W66" s="1"/>
    </row>
    <row r="67" spans="1:23" s="48" customFormat="1" ht="12.75" customHeight="1">
      <c r="A67" s="48" t="s">
        <v>80</v>
      </c>
      <c r="B67"/>
      <c r="C67"/>
      <c r="D67"/>
      <c r="E67"/>
      <c r="F67"/>
      <c r="G67"/>
      <c r="H67"/>
      <c r="I67"/>
      <c r="P67" s="1"/>
      <c r="S67" s="72"/>
      <c r="V67" s="1"/>
      <c r="W67" s="1"/>
    </row>
    <row r="68" spans="1:23" ht="18.75" customHeight="1">
      <c r="A68" s="48"/>
      <c r="P68" s="132" t="s">
        <v>79</v>
      </c>
      <c r="V68" s="2"/>
      <c r="W68" s="2"/>
    </row>
    <row r="69" spans="1:23" ht="12.75" customHeight="1">
      <c r="A69" s="48" t="s">
        <v>38</v>
      </c>
      <c r="C69" s="134" t="s">
        <v>85</v>
      </c>
      <c r="V69" s="2"/>
      <c r="W69" s="2"/>
    </row>
    <row r="70" spans="5:23" ht="18.75" customHeight="1">
      <c r="E70" s="133"/>
      <c r="V70" s="2"/>
      <c r="W70" s="2"/>
    </row>
    <row r="71" ht="12.75">
      <c r="A71" s="48"/>
    </row>
    <row r="72" ht="12.75" customHeight="1"/>
    <row r="73" spans="2:7" ht="12.75">
      <c r="B73" s="137"/>
      <c r="C73" s="137"/>
      <c r="D73" s="137"/>
      <c r="E73" s="137"/>
      <c r="F73" s="137"/>
      <c r="G73" s="137"/>
    </row>
    <row r="74" ht="12.75"/>
    <row r="75" ht="12.75"/>
    <row r="76" ht="12.75"/>
    <row r="77" ht="9" customHeight="1"/>
    <row r="78" ht="7.5" customHeight="1"/>
    <row r="79" ht="12.75"/>
    <row r="80" ht="9.75" customHeight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/>
    <row r="92" ht="12.75"/>
    <row r="93" ht="12.75"/>
    <row r="94" ht="12.75"/>
    <row r="95" ht="12.75"/>
  </sheetData>
  <sheetProtection password="C78F" sheet="1"/>
  <mergeCells count="3">
    <mergeCell ref="A49:H49"/>
    <mergeCell ref="B73:G73"/>
    <mergeCell ref="A50:E50"/>
  </mergeCells>
  <dataValidations count="3">
    <dataValidation type="list" allowBlank="1" showInputMessage="1" showErrorMessage="1" sqref="C23">
      <formula1>$P$11:$P$30</formula1>
    </dataValidation>
    <dataValidation type="list" allowBlank="1" showInputMessage="1" showErrorMessage="1" sqref="G26">
      <formula1>$T$11:$T$30</formula1>
    </dataValidation>
    <dataValidation type="whole" allowBlank="1" showInputMessage="1" showErrorMessage="1" sqref="C33">
      <formula1>2008</formula1>
      <formula2>2012</formula2>
    </dataValidation>
  </dataValidations>
  <hyperlinks>
    <hyperlink ref="C69" r:id="rId1" display="Steuerfüsse 2022"/>
  </hyperlinks>
  <printOptions/>
  <pageMargins left="0.9055118110236221" right="0.1968503937007874" top="0.5118110236220472" bottom="0.11811023622047245" header="0.5118110236220472" footer="0.5118110236220472"/>
  <pageSetup horizontalDpi="300" verticalDpi="300" orientation="portrait" paperSize="9" scale="68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5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1.57421875" style="0" customWidth="1"/>
    <col min="4" max="4" width="11.421875" style="77" customWidth="1"/>
    <col min="5" max="5" width="11.421875" style="50" customWidth="1"/>
    <col min="6" max="6" width="2.00390625" style="0" customWidth="1"/>
    <col min="7" max="7" width="1.8515625" style="78" customWidth="1"/>
    <col min="8" max="8" width="11.421875" style="77" customWidth="1"/>
    <col min="10" max="10" width="11.421875" style="50" customWidth="1"/>
  </cols>
  <sheetData>
    <row r="1" ht="6" customHeight="1" thickBot="1"/>
    <row r="2" spans="2:10" ht="13.5" thickBot="1">
      <c r="B2" s="79">
        <f>IF(KA2022!C21="A",KA2022!G33,IF(KA2022!C21="V",0))</f>
        <v>100000</v>
      </c>
      <c r="C2" s="73"/>
      <c r="H2" s="80" t="s">
        <v>60</v>
      </c>
      <c r="I2" s="77"/>
      <c r="J2" t="s">
        <v>41</v>
      </c>
    </row>
    <row r="3" spans="2:10" ht="12.75">
      <c r="B3" s="73"/>
      <c r="C3" s="73"/>
      <c r="G3" s="81"/>
      <c r="H3" s="82">
        <v>0</v>
      </c>
      <c r="I3" s="83">
        <v>14500</v>
      </c>
      <c r="J3" s="84">
        <v>0.77</v>
      </c>
    </row>
    <row r="4" spans="2:10" ht="12.75">
      <c r="B4" s="73">
        <f>TRUNC(B2/100)*100</f>
        <v>100000</v>
      </c>
      <c r="C4" s="73">
        <f>$B$4</f>
        <v>100000</v>
      </c>
      <c r="D4" s="77">
        <f>IF(C4&gt;=I3,IF(C4&lt;I4,0,0))</f>
        <v>0</v>
      </c>
      <c r="G4" s="81"/>
      <c r="H4" s="82">
        <v>131.65</v>
      </c>
      <c r="I4" s="83">
        <v>31600</v>
      </c>
      <c r="J4" s="84">
        <v>0.88</v>
      </c>
    </row>
    <row r="5" spans="2:10" ht="12.75">
      <c r="B5" s="73"/>
      <c r="C5" s="73">
        <f aca="true" t="shared" si="0" ref="C5:C14">$B$4</f>
        <v>100000</v>
      </c>
      <c r="D5" s="77">
        <f aca="true" t="shared" si="1" ref="D5:D12">IF(C5&gt;=I4,IF(C5&lt;I5,H4,0))</f>
        <v>0</v>
      </c>
      <c r="G5" s="81"/>
      <c r="H5" s="82">
        <v>217.9</v>
      </c>
      <c r="I5" s="83">
        <v>41400</v>
      </c>
      <c r="J5" s="84">
        <v>2.64</v>
      </c>
    </row>
    <row r="6" spans="2:10" ht="12.75">
      <c r="B6" s="73"/>
      <c r="C6" s="73">
        <f t="shared" si="0"/>
        <v>100000</v>
      </c>
      <c r="D6" s="77">
        <f t="shared" si="1"/>
        <v>0</v>
      </c>
      <c r="G6" s="81"/>
      <c r="H6" s="82">
        <v>582.2</v>
      </c>
      <c r="I6" s="83">
        <v>55200</v>
      </c>
      <c r="J6" s="84">
        <v>2.97</v>
      </c>
    </row>
    <row r="7" spans="2:10" ht="12.75">
      <c r="B7" s="73"/>
      <c r="C7" s="73">
        <f t="shared" si="0"/>
        <v>100000</v>
      </c>
      <c r="D7" s="77">
        <f t="shared" si="1"/>
        <v>0</v>
      </c>
      <c r="G7" s="81"/>
      <c r="H7" s="82">
        <v>1096</v>
      </c>
      <c r="I7" s="83">
        <v>72500</v>
      </c>
      <c r="J7" s="84">
        <v>5.94</v>
      </c>
    </row>
    <row r="8" spans="2:10" ht="12.75">
      <c r="B8" s="73"/>
      <c r="C8" s="73">
        <f t="shared" si="0"/>
        <v>100000</v>
      </c>
      <c r="D8" s="77">
        <f t="shared" si="1"/>
        <v>0</v>
      </c>
      <c r="G8" s="81"/>
      <c r="H8" s="82">
        <v>1428.6</v>
      </c>
      <c r="I8" s="83">
        <v>78100</v>
      </c>
      <c r="J8" s="84">
        <v>6.6</v>
      </c>
    </row>
    <row r="9" spans="2:10" ht="12.75">
      <c r="B9" s="73"/>
      <c r="C9" s="73">
        <f t="shared" si="0"/>
        <v>100000</v>
      </c>
      <c r="D9" s="77">
        <f t="shared" si="1"/>
        <v>1428.6</v>
      </c>
      <c r="G9" s="81"/>
      <c r="H9" s="82">
        <v>3111.6</v>
      </c>
      <c r="I9" s="83">
        <v>103600</v>
      </c>
      <c r="J9" s="84">
        <v>8.8</v>
      </c>
    </row>
    <row r="10" spans="2:10" ht="12.75">
      <c r="B10" s="73"/>
      <c r="C10" s="73">
        <f t="shared" si="0"/>
        <v>100000</v>
      </c>
      <c r="D10" s="77" t="b">
        <f t="shared" si="1"/>
        <v>0</v>
      </c>
      <c r="G10" s="81"/>
      <c r="H10" s="82">
        <v>5839.6</v>
      </c>
      <c r="I10" s="83">
        <v>134600</v>
      </c>
      <c r="J10" s="84">
        <v>11</v>
      </c>
    </row>
    <row r="11" spans="2:10" ht="12.75">
      <c r="B11" s="73"/>
      <c r="C11" s="73">
        <f t="shared" si="0"/>
        <v>100000</v>
      </c>
      <c r="D11" s="77" t="b">
        <f t="shared" si="1"/>
        <v>0</v>
      </c>
      <c r="G11" s="81"/>
      <c r="H11" s="82">
        <v>10393.6</v>
      </c>
      <c r="I11" s="83">
        <v>176000</v>
      </c>
      <c r="J11" s="84">
        <v>13.2</v>
      </c>
    </row>
    <row r="12" spans="2:10" ht="12.75">
      <c r="B12" s="73"/>
      <c r="C12" s="73">
        <f t="shared" si="0"/>
        <v>100000</v>
      </c>
      <c r="D12" s="77" t="b">
        <f t="shared" si="1"/>
        <v>0</v>
      </c>
      <c r="G12" s="81"/>
      <c r="H12" s="82">
        <v>86848</v>
      </c>
      <c r="I12" s="83">
        <v>755200</v>
      </c>
      <c r="J12" s="84">
        <v>11.5</v>
      </c>
    </row>
    <row r="13" spans="2:10" ht="12.75">
      <c r="B13" s="73"/>
      <c r="C13" s="73">
        <f t="shared" si="0"/>
        <v>100000</v>
      </c>
      <c r="D13" s="77">
        <f>IF(C13=I12,H12,0)</f>
        <v>0</v>
      </c>
      <c r="G13" s="81"/>
      <c r="H13" s="82"/>
      <c r="I13" s="83"/>
      <c r="J13" s="84"/>
    </row>
    <row r="14" spans="2:10" ht="12.75">
      <c r="B14" s="73"/>
      <c r="C14" s="73">
        <f t="shared" si="0"/>
        <v>100000</v>
      </c>
      <c r="D14" s="77">
        <f>IF(C14&gt;I12,H12,0)</f>
        <v>0</v>
      </c>
      <c r="G14" s="81"/>
      <c r="H14" s="82" t="s">
        <v>0</v>
      </c>
      <c r="I14" s="83" t="s">
        <v>0</v>
      </c>
      <c r="J14" s="84" t="s">
        <v>0</v>
      </c>
    </row>
    <row r="15" spans="2:10" ht="12.75">
      <c r="B15" s="73"/>
      <c r="C15" s="73"/>
      <c r="G15" s="81"/>
      <c r="H15" s="82"/>
      <c r="I15" s="83"/>
      <c r="J15" s="84"/>
    </row>
    <row r="16" spans="2:9" ht="12.75">
      <c r="B16" s="73"/>
      <c r="C16" s="73"/>
      <c r="G16" s="81"/>
      <c r="H16" s="85"/>
      <c r="I16" s="81"/>
    </row>
    <row r="17" spans="2:9" ht="12.75">
      <c r="B17" s="73"/>
      <c r="C17" s="73">
        <f>VLOOKUP(D17,H3:I13,2,FALSE)</f>
        <v>78100</v>
      </c>
      <c r="D17" s="77">
        <f>SUM(D4:D15)</f>
        <v>1428.6</v>
      </c>
      <c r="E17" s="50">
        <f>VLOOKUP(C17,I3:J14,2,FALSE)</f>
        <v>6.6</v>
      </c>
      <c r="G17" s="81"/>
      <c r="I17" s="73"/>
    </row>
    <row r="18" spans="2:9" ht="12.75">
      <c r="B18" s="73"/>
      <c r="C18" s="73"/>
      <c r="G18" s="81"/>
      <c r="I18" s="73"/>
    </row>
    <row r="19" spans="2:9" ht="12.75">
      <c r="B19" s="73"/>
      <c r="C19" s="73">
        <f>MAX(B4-C17,0)</f>
        <v>21900</v>
      </c>
      <c r="D19" s="77">
        <f>SUM(E17*E19)</f>
        <v>1445.3999999999999</v>
      </c>
      <c r="E19" s="73">
        <f>C19/100</f>
        <v>219</v>
      </c>
      <c r="G19" s="81"/>
      <c r="I19" s="73"/>
    </row>
    <row r="20" spans="2:9" ht="13.5" thickBot="1">
      <c r="B20" s="73"/>
      <c r="C20" s="73"/>
      <c r="G20" s="81"/>
      <c r="I20" s="73"/>
    </row>
    <row r="21" spans="2:9" ht="13.5" thickBot="1">
      <c r="B21" s="73"/>
      <c r="C21" s="86">
        <f>SUM(C17:C19)</f>
        <v>100000</v>
      </c>
      <c r="D21" s="87">
        <f>SUM(D17:D19)</f>
        <v>2874</v>
      </c>
      <c r="G21" s="81" t="s">
        <v>0</v>
      </c>
      <c r="I21" s="73"/>
    </row>
    <row r="22" spans="2:9" ht="12.75">
      <c r="B22" s="73"/>
      <c r="C22" s="73"/>
      <c r="G22" s="81"/>
      <c r="I22" s="73"/>
    </row>
    <row r="23" spans="2:9" ht="12.75">
      <c r="B23" s="73"/>
      <c r="C23" s="73"/>
      <c r="G23" s="81"/>
      <c r="I23" s="73"/>
    </row>
    <row r="24" spans="2:9" ht="12.75">
      <c r="B24" s="73"/>
      <c r="C24" s="73"/>
      <c r="G24" s="81"/>
      <c r="I24" s="73"/>
    </row>
    <row r="25" spans="7:9" ht="12.75">
      <c r="G25" s="81"/>
      <c r="I25" s="73"/>
    </row>
    <row r="26" spans="7:9" ht="12.75">
      <c r="G26" s="81"/>
      <c r="I26" s="73"/>
    </row>
    <row r="27" spans="7:9" ht="12.75">
      <c r="G27" s="81"/>
      <c r="I27" s="73"/>
    </row>
    <row r="28" spans="7:9" ht="12.75">
      <c r="G28" s="81"/>
      <c r="I28" s="73"/>
    </row>
    <row r="29" spans="7:9" ht="12.75">
      <c r="G29" s="81"/>
      <c r="I29" s="73"/>
    </row>
    <row r="30" spans="7:9" ht="12.75">
      <c r="G30" s="81"/>
      <c r="I30" s="73"/>
    </row>
    <row r="31" spans="7:9" ht="12.75">
      <c r="G31" s="81"/>
      <c r="I31" s="73"/>
    </row>
    <row r="32" spans="7:9" ht="12.75">
      <c r="G32" s="81"/>
      <c r="I32" s="73"/>
    </row>
    <row r="33" spans="7:9" ht="12.75">
      <c r="G33" s="81"/>
      <c r="I33" s="73"/>
    </row>
    <row r="34" spans="7:9" ht="12.75">
      <c r="G34" s="81"/>
      <c r="I34" s="73"/>
    </row>
    <row r="35" spans="7:9" ht="12.75">
      <c r="G35" s="81"/>
      <c r="I35" s="73"/>
    </row>
  </sheetData>
  <sheetProtection password="C78F"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33"/>
  <sheetViews>
    <sheetView zoomScalePageLayoutView="0" workbookViewId="0" topLeftCell="A1">
      <selection activeCell="D18" sqref="D18"/>
    </sheetView>
  </sheetViews>
  <sheetFormatPr defaultColWidth="11.421875" defaultRowHeight="12.75"/>
  <cols>
    <col min="1" max="1" width="2.28125" style="0" customWidth="1"/>
    <col min="4" max="4" width="11.421875" style="77" customWidth="1"/>
    <col min="5" max="5" width="11.421875" style="50" customWidth="1"/>
    <col min="6" max="6" width="2.00390625" style="0" customWidth="1"/>
    <col min="7" max="7" width="1.8515625" style="78" customWidth="1"/>
    <col min="8" max="8" width="11.421875" style="77" customWidth="1"/>
    <col min="10" max="10" width="11.421875" style="50" customWidth="1"/>
  </cols>
  <sheetData>
    <row r="1" ht="5.25" customHeight="1" thickBot="1"/>
    <row r="2" spans="2:10" ht="13.5" thickBot="1">
      <c r="B2" s="79">
        <f>IF(KA2022!C21="V",KA2022!G33,IF(KA2022!C21="A",0))</f>
        <v>0</v>
      </c>
      <c r="C2" s="73"/>
      <c r="H2" s="80" t="s">
        <v>61</v>
      </c>
      <c r="I2" s="77"/>
      <c r="J2" t="s">
        <v>74</v>
      </c>
    </row>
    <row r="3" spans="2:10" ht="12.75">
      <c r="B3" s="73"/>
      <c r="C3" s="73"/>
      <c r="G3" s="81"/>
      <c r="H3" s="82">
        <v>0</v>
      </c>
      <c r="I3" s="83">
        <v>28300</v>
      </c>
      <c r="J3" s="84">
        <v>1</v>
      </c>
    </row>
    <row r="4" spans="2:10" ht="12.75">
      <c r="B4" s="73">
        <f>TRUNC(B2/100)*100</f>
        <v>0</v>
      </c>
      <c r="C4" s="73">
        <f>$B$4</f>
        <v>0</v>
      </c>
      <c r="D4" s="77" t="b">
        <f>IF(C4&gt;=I3,IF(C4&lt;I4,0,0))</f>
        <v>0</v>
      </c>
      <c r="E4" s="50" t="s">
        <v>0</v>
      </c>
      <c r="G4" s="81"/>
      <c r="H4" s="82">
        <v>226</v>
      </c>
      <c r="I4" s="83">
        <v>50900</v>
      </c>
      <c r="J4" s="84">
        <v>2</v>
      </c>
    </row>
    <row r="5" spans="2:10" ht="12.75">
      <c r="B5" s="73"/>
      <c r="C5" s="73">
        <f aca="true" t="shared" si="0" ref="C5:C18">$B$4</f>
        <v>0</v>
      </c>
      <c r="D5" s="77" t="b">
        <f>IF(C5&gt;=I4,IF(C5&lt;I5,H4,0))</f>
        <v>0</v>
      </c>
      <c r="E5" s="50" t="s">
        <v>0</v>
      </c>
      <c r="G5" s="81"/>
      <c r="H5" s="82">
        <v>376</v>
      </c>
      <c r="I5" s="83">
        <v>58400</v>
      </c>
      <c r="J5" s="84">
        <v>3</v>
      </c>
    </row>
    <row r="6" spans="2:10" ht="12.75">
      <c r="B6" s="73"/>
      <c r="C6" s="73">
        <f t="shared" si="0"/>
        <v>0</v>
      </c>
      <c r="D6" s="77" t="b">
        <f>IF(C6&gt;=I5,IF(C6&lt;I6,H5,0))</f>
        <v>0</v>
      </c>
      <c r="E6" s="50" t="s">
        <v>0</v>
      </c>
      <c r="G6" s="81"/>
      <c r="H6" s="82">
        <v>883</v>
      </c>
      <c r="I6" s="83">
        <v>75300</v>
      </c>
      <c r="J6" s="84">
        <v>4</v>
      </c>
    </row>
    <row r="7" spans="2:10" ht="12.75">
      <c r="B7" s="73"/>
      <c r="C7" s="73">
        <f t="shared" si="0"/>
        <v>0</v>
      </c>
      <c r="D7" s="77" t="b">
        <f>IF(C7&gt;=I6,IF(C7&lt;I7,H6,0))</f>
        <v>0</v>
      </c>
      <c r="E7" s="50" t="s">
        <v>0</v>
      </c>
      <c r="G7" s="81"/>
      <c r="H7" s="82">
        <v>1483</v>
      </c>
      <c r="I7" s="83">
        <v>90300</v>
      </c>
      <c r="J7" s="84">
        <v>5</v>
      </c>
    </row>
    <row r="8" spans="2:10" ht="12.75">
      <c r="B8" s="73"/>
      <c r="C8" s="73">
        <f t="shared" si="0"/>
        <v>0</v>
      </c>
      <c r="D8" s="77" t="b">
        <f>IF(C8&gt;=I7,IF(C8&lt;I8,H7,0))</f>
        <v>0</v>
      </c>
      <c r="E8" s="50" t="s">
        <v>0</v>
      </c>
      <c r="G8" s="81"/>
      <c r="H8" s="82">
        <v>2138</v>
      </c>
      <c r="I8" s="83">
        <v>103400</v>
      </c>
      <c r="J8" s="84">
        <v>6</v>
      </c>
    </row>
    <row r="9" spans="2:10" ht="12.75">
      <c r="B9" s="73"/>
      <c r="C9" s="73">
        <f t="shared" si="0"/>
        <v>0</v>
      </c>
      <c r="D9" s="77" t="b">
        <f>IF(C9&gt;=I8,IF(C9&lt;I9,H8,0))</f>
        <v>0</v>
      </c>
      <c r="E9" s="50" t="s">
        <v>0</v>
      </c>
      <c r="G9" s="81"/>
      <c r="H9" s="82">
        <v>2816</v>
      </c>
      <c r="I9" s="83">
        <v>114700</v>
      </c>
      <c r="J9" s="84">
        <v>7</v>
      </c>
    </row>
    <row r="10" spans="2:10" ht="12.75">
      <c r="B10" s="73"/>
      <c r="C10" s="73">
        <f t="shared" si="0"/>
        <v>0</v>
      </c>
      <c r="D10" s="77" t="b">
        <f aca="true" t="shared" si="1" ref="D10:D15">IF(C10&gt;=I9,IF(C10&lt;I10,H9,0))</f>
        <v>0</v>
      </c>
      <c r="E10" s="50" t="s">
        <v>0</v>
      </c>
      <c r="G10" s="81"/>
      <c r="H10" s="82">
        <v>3481</v>
      </c>
      <c r="I10" s="83">
        <v>124200</v>
      </c>
      <c r="J10" s="84">
        <v>8</v>
      </c>
    </row>
    <row r="11" spans="2:10" ht="12.75">
      <c r="B11" s="73"/>
      <c r="C11" s="73">
        <f t="shared" si="0"/>
        <v>0</v>
      </c>
      <c r="D11" s="77" t="b">
        <f t="shared" si="1"/>
        <v>0</v>
      </c>
      <c r="E11" s="50" t="s">
        <v>0</v>
      </c>
      <c r="G11" s="81"/>
      <c r="H11" s="82">
        <v>4081</v>
      </c>
      <c r="I11" s="83">
        <v>131700</v>
      </c>
      <c r="J11" s="84">
        <v>9</v>
      </c>
    </row>
    <row r="12" spans="2:10" ht="12.75">
      <c r="B12" s="73"/>
      <c r="C12" s="73">
        <f t="shared" si="0"/>
        <v>0</v>
      </c>
      <c r="D12" s="77" t="b">
        <f t="shared" si="1"/>
        <v>0</v>
      </c>
      <c r="E12" s="50" t="s">
        <v>0</v>
      </c>
      <c r="G12" s="81"/>
      <c r="H12" s="82">
        <v>4585</v>
      </c>
      <c r="I12" s="83">
        <v>137300</v>
      </c>
      <c r="J12" s="82">
        <v>10</v>
      </c>
    </row>
    <row r="13" spans="2:10" ht="12.75">
      <c r="B13" s="73"/>
      <c r="C13" s="73">
        <f t="shared" si="0"/>
        <v>0</v>
      </c>
      <c r="D13" s="77" t="b">
        <f t="shared" si="1"/>
        <v>0</v>
      </c>
      <c r="E13" s="50" t="s">
        <v>0</v>
      </c>
      <c r="G13" s="81"/>
      <c r="H13" s="82">
        <v>4975</v>
      </c>
      <c r="I13" s="83">
        <v>141200</v>
      </c>
      <c r="J13" s="82">
        <v>11</v>
      </c>
    </row>
    <row r="14" spans="2:10" ht="12.75">
      <c r="B14" s="73"/>
      <c r="C14" s="73">
        <f t="shared" si="0"/>
        <v>0</v>
      </c>
      <c r="D14" s="77" t="b">
        <f t="shared" si="1"/>
        <v>0</v>
      </c>
      <c r="G14" s="81"/>
      <c r="H14" s="82">
        <v>5184</v>
      </c>
      <c r="I14" s="83">
        <v>143100</v>
      </c>
      <c r="J14" s="82">
        <v>12</v>
      </c>
    </row>
    <row r="15" spans="2:10" ht="12.75">
      <c r="B15" s="73"/>
      <c r="C15" s="73">
        <f t="shared" si="0"/>
        <v>0</v>
      </c>
      <c r="D15" s="77" t="b">
        <f t="shared" si="1"/>
        <v>0</v>
      </c>
      <c r="E15" s="73" t="s">
        <v>0</v>
      </c>
      <c r="G15" s="81"/>
      <c r="H15" s="82">
        <v>5412</v>
      </c>
      <c r="I15" s="83">
        <v>145000</v>
      </c>
      <c r="J15" s="82">
        <v>13</v>
      </c>
    </row>
    <row r="16" spans="2:10" ht="12.75">
      <c r="B16" s="73"/>
      <c r="C16" s="73">
        <f t="shared" si="0"/>
        <v>0</v>
      </c>
      <c r="D16" s="77" t="b">
        <f>IF(C16&gt;=I15,IF(C16&lt;I17,H15,0))</f>
        <v>0</v>
      </c>
      <c r="E16" s="73"/>
      <c r="G16" s="81"/>
      <c r="H16" s="82"/>
      <c r="I16" s="83"/>
      <c r="J16" s="82"/>
    </row>
    <row r="17" spans="2:10" ht="12.75">
      <c r="B17" s="73"/>
      <c r="C17" s="73">
        <f t="shared" si="0"/>
        <v>0</v>
      </c>
      <c r="D17" s="77">
        <f>IF(C17=I17,H17,0)</f>
        <v>0</v>
      </c>
      <c r="E17" s="50" t="s">
        <v>0</v>
      </c>
      <c r="G17" s="81"/>
      <c r="H17" s="82">
        <v>103016</v>
      </c>
      <c r="I17" s="83">
        <v>895800</v>
      </c>
      <c r="J17" s="82">
        <v>0</v>
      </c>
    </row>
    <row r="18" spans="2:10" ht="12.75">
      <c r="B18" s="73"/>
      <c r="C18" s="73">
        <f t="shared" si="0"/>
        <v>0</v>
      </c>
      <c r="D18" s="88">
        <f>IF(C18&gt;=I18,H18,0)</f>
        <v>0</v>
      </c>
      <c r="G18" s="81" t="s">
        <v>0</v>
      </c>
      <c r="H18" s="82">
        <v>103028.5</v>
      </c>
      <c r="I18" s="83">
        <v>895900</v>
      </c>
      <c r="J18" s="82">
        <v>11.5</v>
      </c>
    </row>
    <row r="19" spans="2:10" ht="12.75">
      <c r="B19" s="73"/>
      <c r="C19" s="73"/>
      <c r="G19" s="81"/>
      <c r="H19" s="82"/>
      <c r="I19" s="83"/>
      <c r="J19" s="82"/>
    </row>
    <row r="20" spans="2:10" ht="12.75">
      <c r="B20" s="73"/>
      <c r="C20" s="73"/>
      <c r="G20" s="81"/>
      <c r="H20" s="82"/>
      <c r="I20" s="83"/>
      <c r="J20" s="82"/>
    </row>
    <row r="21" spans="2:9" ht="12.75">
      <c r="B21" s="73"/>
      <c r="C21" s="73">
        <f>VLOOKUP(D21,H3:I18,2,FALSE)</f>
        <v>28300</v>
      </c>
      <c r="D21" s="77">
        <f>SUM(D4:D18)</f>
        <v>0</v>
      </c>
      <c r="E21" s="50">
        <f>VLOOKUP(C21,I3:J18,2,FALSE)</f>
        <v>1</v>
      </c>
      <c r="G21" s="81"/>
      <c r="I21" s="73"/>
    </row>
    <row r="22" spans="2:9" ht="12.75">
      <c r="B22" s="73"/>
      <c r="C22" s="73"/>
      <c r="G22" s="81"/>
      <c r="I22" s="73"/>
    </row>
    <row r="23" spans="3:9" ht="12.75">
      <c r="C23" s="73">
        <f>MAX(B4-C21,0)</f>
        <v>0</v>
      </c>
      <c r="D23" s="77">
        <f>E21*E23</f>
        <v>0</v>
      </c>
      <c r="E23" s="50">
        <f>C23/100</f>
        <v>0</v>
      </c>
      <c r="G23" s="81"/>
      <c r="I23" s="73"/>
    </row>
    <row r="24" spans="7:9" ht="13.5" thickBot="1">
      <c r="G24" s="81"/>
      <c r="I24" s="73"/>
    </row>
    <row r="25" spans="3:9" ht="13.5" thickBot="1">
      <c r="C25" s="86">
        <f>SUM(C21:C23)</f>
        <v>28300</v>
      </c>
      <c r="D25" s="87">
        <f>SUM(D21:D23)</f>
        <v>0</v>
      </c>
      <c r="G25" s="81"/>
      <c r="I25" s="73"/>
    </row>
    <row r="26" spans="7:9" ht="12.75">
      <c r="G26" s="81"/>
      <c r="I26" s="73"/>
    </row>
    <row r="27" spans="7:9" ht="12.75">
      <c r="G27" s="81"/>
      <c r="I27" s="73"/>
    </row>
    <row r="28" spans="7:9" ht="12.75">
      <c r="G28" s="81"/>
      <c r="I28" s="73"/>
    </row>
    <row r="29" spans="7:9" ht="12.75">
      <c r="G29" s="81"/>
      <c r="I29" s="73"/>
    </row>
    <row r="30" spans="7:9" ht="12.75">
      <c r="G30" s="81"/>
      <c r="I30" s="73"/>
    </row>
    <row r="31" spans="7:9" ht="12.75">
      <c r="G31" s="81"/>
      <c r="I31" s="73"/>
    </row>
    <row r="32" spans="7:9" ht="12.75">
      <c r="G32" s="81"/>
      <c r="I32" s="73"/>
    </row>
    <row r="33" spans="7:9" ht="12.75">
      <c r="G33" s="81"/>
      <c r="I33" s="73"/>
    </row>
  </sheetData>
  <sheetProtection password="C78F"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Int_KA01</dc:title>
  <dc:subject/>
  <dc:creator>Sidler Ursula</dc:creator>
  <cp:keywords/>
  <dc:description/>
  <cp:lastModifiedBy>Eisenlohr Ottilia</cp:lastModifiedBy>
  <cp:lastPrinted>2015-02-11T15:51:57Z</cp:lastPrinted>
  <dcterms:created xsi:type="dcterms:W3CDTF">2001-02-10T20:37:38Z</dcterms:created>
  <dcterms:modified xsi:type="dcterms:W3CDTF">2022-03-31T06:42:33Z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